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ransactions" sheetId="1" state="visible" r:id="rId1"/>
    <sheet xmlns:r="http://schemas.openxmlformats.org/officeDocument/2006/relationships" name="Summary" sheetId="2" state="visible" r:id="rId2"/>
    <sheet xmlns:r="http://schemas.openxmlformats.org/officeDocument/2006/relationships" name="Inclusion_Rules"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3">
    <numFmt numFmtId="164" formatCode="yyyy-mm-dd"/>
    <numFmt numFmtId="165" formatCode="$#,##0.00"/>
    <numFmt numFmtId="166" formatCode="0.0%"/>
  </numFmts>
  <fonts count="6">
    <font>
      <name val="Calibri"/>
      <family val="2"/>
      <color theme="1"/>
      <sz val="11"/>
      <scheme val="minor"/>
    </font>
    <font>
      <name val="Calibri"/>
      <b val="1"/>
      <color rgb="001E293B"/>
      <sz val="16"/>
    </font>
    <font>
      <name val="Calibri"/>
      <b val="1"/>
      <color rgb="00FFFFFF"/>
      <sz val="11"/>
    </font>
    <font>
      <name val="Calibri"/>
      <b val="1"/>
      <sz val="11"/>
    </font>
    <font>
      <name val="Calibri"/>
      <i val="1"/>
      <color rgb="00475569"/>
      <sz val="10"/>
    </font>
    <font>
      <name val="Calibri"/>
      <sz val="11"/>
    </font>
  </fonts>
  <fills count="8">
    <fill>
      <patternFill/>
    </fill>
    <fill>
      <patternFill patternType="gray125"/>
    </fill>
    <fill>
      <patternFill patternType="solid">
        <fgColor rgb="001E293B"/>
        <bgColor rgb="001E293B"/>
      </patternFill>
    </fill>
    <fill>
      <patternFill patternType="solid">
        <fgColor rgb="00F8FAFC"/>
        <bgColor rgb="00F8FAFC"/>
      </patternFill>
    </fill>
    <fill>
      <patternFill patternType="solid">
        <fgColor rgb="00FFFBEB"/>
        <bgColor rgb="00FFFBEB"/>
      </patternFill>
    </fill>
    <fill>
      <patternFill patternType="solid">
        <fgColor rgb="00FFFFFF"/>
        <bgColor rgb="00FFFFFF"/>
      </patternFill>
    </fill>
    <fill>
      <patternFill patternType="solid">
        <fgColor rgb="0014B8A6"/>
        <bgColor rgb="0014B8A6"/>
      </patternFill>
    </fill>
    <fill>
      <patternFill patternType="solid">
        <fgColor rgb="000F766E"/>
        <bgColor rgb="000F766E"/>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6">
    <xf numFmtId="0" fontId="0" fillId="0" borderId="0" pivotButton="0" quotePrefix="0" xfId="0"/>
    <xf numFmtId="0" fontId="1" fillId="0" borderId="0" applyAlignment="1" pivotButton="0" quotePrefix="0" xfId="0">
      <alignment horizontal="left" vertical="center"/>
    </xf>
    <xf numFmtId="0" fontId="2" fillId="2" borderId="1" applyAlignment="1" pivotButton="0" quotePrefix="0" xfId="0">
      <alignment horizontal="center" vertical="center" wrapText="1"/>
    </xf>
    <xf numFmtId="164" fontId="0" fillId="4" borderId="1" applyAlignment="1" pivotButton="0" quotePrefix="0" xfId="0">
      <alignment horizontal="center" vertical="center" wrapText="1"/>
    </xf>
    <xf numFmtId="0" fontId="0" fillId="4" borderId="1" applyAlignment="1" pivotButton="0" quotePrefix="0" xfId="0">
      <alignment horizontal="center" vertical="center" wrapText="1"/>
    </xf>
    <xf numFmtId="0" fontId="0" fillId="4" borderId="1" applyAlignment="1" pivotButton="0" quotePrefix="0" xfId="0">
      <alignment horizontal="left" vertical="center" wrapText="1"/>
    </xf>
    <xf numFmtId="165" fontId="0" fillId="4" borderId="1" applyAlignment="1" pivotButton="0" quotePrefix="0" xfId="0">
      <alignment horizontal="center" vertical="center" wrapText="1"/>
    </xf>
    <xf numFmtId="165" fontId="0" fillId="3" borderId="1" applyAlignment="1" pivotButton="0" quotePrefix="0" xfId="0">
      <alignment horizontal="center" vertical="center" wrapText="1"/>
    </xf>
    <xf numFmtId="0" fontId="0" fillId="3" borderId="1" applyAlignment="1" pivotButton="0" quotePrefix="0" xfId="0">
      <alignment horizontal="center" vertical="center" wrapText="1"/>
    </xf>
    <xf numFmtId="166" fontId="0" fillId="3" borderId="1" applyAlignment="1" pivotButton="0" quotePrefix="0" xfId="0">
      <alignment horizontal="center" vertical="center" wrapText="1"/>
    </xf>
    <xf numFmtId="165" fontId="0" fillId="5" borderId="1" applyAlignment="1" pivotButton="0" quotePrefix="0" xfId="0">
      <alignment horizontal="center" vertical="center" wrapText="1"/>
    </xf>
    <xf numFmtId="0" fontId="0" fillId="5" borderId="1" applyAlignment="1" pivotButton="0" quotePrefix="0" xfId="0">
      <alignment horizontal="center" vertical="center" wrapText="1"/>
    </xf>
    <xf numFmtId="166" fontId="0" fillId="5" borderId="1" applyAlignment="1" pivotButton="0" quotePrefix="0" xfId="0">
      <alignment horizontal="center" vertical="center" wrapText="1"/>
    </xf>
    <xf numFmtId="0" fontId="1" fillId="0" borderId="0" pivotButton="0" quotePrefix="0" xfId="0"/>
    <xf numFmtId="0" fontId="2" fillId="6" borderId="0" pivotButton="0" quotePrefix="0" xfId="0"/>
    <xf numFmtId="0" fontId="3" fillId="3" borderId="1" pivotButton="0" quotePrefix="0" xfId="0"/>
    <xf numFmtId="165" fontId="0" fillId="3" borderId="1" pivotButton="0" quotePrefix="0" xfId="0"/>
    <xf numFmtId="0" fontId="3" fillId="5" borderId="1" pivotButton="0" quotePrefix="0" xfId="0"/>
    <xf numFmtId="165" fontId="0" fillId="5" borderId="1" pivotButton="0" quotePrefix="0" xfId="0"/>
    <xf numFmtId="1" fontId="0" fillId="5" borderId="1" pivotButton="0" quotePrefix="0" xfId="0"/>
    <xf numFmtId="1" fontId="0" fillId="3" borderId="1" pivotButton="0" quotePrefix="0" xfId="0"/>
    <xf numFmtId="166" fontId="0" fillId="5" borderId="1" pivotButton="0" quotePrefix="0" xfId="0"/>
    <xf numFmtId="0" fontId="0" fillId="3" borderId="1" pivotButton="0" quotePrefix="0" xfId="0"/>
    <xf numFmtId="0" fontId="2" fillId="7" borderId="1" applyAlignment="1" pivotButton="0" quotePrefix="0" xfId="0">
      <alignment horizontal="center" vertical="center" wrapText="1"/>
    </xf>
    <xf numFmtId="166" fontId="0" fillId="3" borderId="1" pivotButton="0" quotePrefix="0" xfId="0"/>
    <xf numFmtId="0" fontId="0" fillId="3" borderId="1" applyAlignment="1" pivotButton="0" quotePrefix="0" xfId="0">
      <alignment horizontal="left" vertical="center" wrapText="1"/>
    </xf>
    <xf numFmtId="0" fontId="0" fillId="5" borderId="1" pivotButton="0" quotePrefix="0" xfId="0"/>
    <xf numFmtId="0" fontId="0" fillId="5" borderId="1" applyAlignment="1" pivotButton="0" quotePrefix="0" xfId="0">
      <alignment horizontal="left" vertical="center" wrapText="1"/>
    </xf>
    <xf numFmtId="0" fontId="2" fillId="7" borderId="1" pivotButton="0" quotePrefix="0" xfId="0"/>
    <xf numFmtId="0" fontId="4" fillId="0" borderId="0" pivotButton="0" quotePrefix="0" xfId="0"/>
    <xf numFmtId="0" fontId="3" fillId="0" borderId="0" pivotButton="0" quotePrefix="0" xfId="0"/>
    <xf numFmtId="0" fontId="5" fillId="0" borderId="0" applyAlignment="1" pivotButton="0" quotePrefix="0" xfId="0">
      <alignment horizontal="left" vertical="top" wrapText="1"/>
    </xf>
    <xf numFmtId="0" fontId="3" fillId="3" borderId="1" applyAlignment="1" pivotButton="0" quotePrefix="0" xfId="0">
      <alignment horizontal="left" vertical="top"/>
    </xf>
    <xf numFmtId="0" fontId="0" fillId="3" borderId="1" applyAlignment="1" pivotButton="0" quotePrefix="0" xfId="0">
      <alignment horizontal="left" vertical="top" wrapText="1"/>
    </xf>
    <xf numFmtId="0" fontId="3" fillId="5" borderId="1" applyAlignment="1" pivotButton="0" quotePrefix="0" xfId="0">
      <alignment horizontal="left" vertical="top"/>
    </xf>
    <xf numFmtId="0" fontId="0" fillId="5" borderId="1" applyAlignment="1" pivotButton="0" quotePrefix="0" xfId="0">
      <alignment horizontal="left" vertical="top" wrapText="1"/>
    </xf>
  </cellXfs>
  <cellStyles count="1">
    <cellStyle name="Normal" xfId="0" builtinId="0" hidden="0"/>
  </cellStyles>
  <dxfs count="2">
    <dxf>
      <font>
        <name val="Calibri"/>
        <b val="1"/>
        <color rgb="0016A34A"/>
        <sz val="11"/>
      </font>
    </dxf>
    <dxf>
      <font>
        <name val="Calibri"/>
        <b val="1"/>
        <color rgb="00DC2626"/>
        <sz val="11"/>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Capital Gain/Loss by Transaction</a:t>
            </a:r>
          </a:p>
        </rich>
      </tx>
    </title>
    <plotArea>
      <barChart>
        <barDir val="col"/>
        <grouping val="clustered"/>
        <ser>
          <idx val="0"/>
          <order val="0"/>
          <tx>
            <strRef>
              <f>'Transactions'!I2</f>
            </strRef>
          </tx>
          <spPr>
            <a:solidFill xmlns:a="http://schemas.openxmlformats.org/drawingml/2006/main">
              <a:srgbClr val="0F766E"/>
            </a:solidFill>
            <a:ln xmlns:a="http://schemas.openxmlformats.org/drawingml/2006/main">
              <a:prstDash val="solid"/>
            </a:ln>
          </spPr>
          <cat>
            <numRef>
              <f>'Transactions'!$E$3:$E$12</f>
            </numRef>
          </cat>
          <val>
            <numRef>
              <f>'Transactions'!$I$3:$I$12</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Description</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Gain vs Loss Count Split</a:t>
            </a:r>
          </a:p>
        </rich>
      </tx>
    </title>
    <plotArea>
      <pieChart>
        <varyColors val="1"/>
        <ser>
          <idx val="0"/>
          <order val="0"/>
          <tx>
            <strRef>
              <f>'Summary'!B20</f>
            </strRef>
          </tx>
          <spPr>
            <a:ln xmlns:a="http://schemas.openxmlformats.org/drawingml/2006/main">
              <a:prstDash val="solid"/>
            </a:ln>
          </spPr>
          <cat>
            <numRef>
              <f>'Summary'!$A$21:$A$22</f>
            </numRef>
          </cat>
          <val>
            <numRef>
              <f>'Summary'!$B$21:$B$22</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4</col>
      <colOff>0</colOff>
      <row>3</row>
      <rowOff>0</rowOff>
    </from>
    <ext cx="792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21</row>
      <rowOff>0</rowOff>
    </from>
    <ext cx="432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P12"/>
  <sheetViews>
    <sheetView workbookViewId="0">
      <pane ySplit="2" topLeftCell="A3" activePane="bottomLeft" state="frozen"/>
      <selection pane="bottomLeft" activeCell="A1" sqref="A1"/>
    </sheetView>
  </sheetViews>
  <sheetFormatPr baseColWidth="8" defaultRowHeight="15"/>
  <cols>
    <col width="16" customWidth="1" min="1" max="1"/>
    <col width="16" customWidth="1" min="2" max="2"/>
    <col width="16" customWidth="1" min="3" max="3"/>
    <col width="18" customWidth="1" min="4" max="4"/>
    <col width="34" customWidth="1" min="5" max="5"/>
    <col width="16" customWidth="1" min="6" max="6"/>
    <col width="18" customWidth="1" min="7" max="7"/>
    <col width="16" customWidth="1" min="8" max="8"/>
    <col width="18" customWidth="1" min="9" max="9"/>
    <col width="16" customWidth="1" min="10" max="10"/>
    <col width="18" customWidth="1" min="11" max="11"/>
    <col width="14" customWidth="1" min="12" max="12"/>
    <col width="20" customWidth="1" min="13" max="13"/>
    <col width="12" customWidth="1" min="14" max="14"/>
    <col width="16" customWidth="1" min="15" max="15"/>
    <col width="34" customWidth="1" min="16" max="16"/>
  </cols>
  <sheetData>
    <row r="1" ht="26" customHeight="1">
      <c r="A1" s="1" t="inlineStr">
        <is>
          <t>Canadian Capital Gains Inclusion Rate Tracker - Transactions Log (2026)</t>
        </is>
      </c>
    </row>
    <row r="2" ht="34" customHeight="1">
      <c r="A2" s="2" t="inlineStr">
        <is>
          <t>Disposition Date</t>
        </is>
      </c>
      <c r="B2" s="2" t="inlineStr">
        <is>
          <t>Settlement Date</t>
        </is>
      </c>
      <c r="C2" s="2" t="inlineStr">
        <is>
          <t>Acquisition Date</t>
        </is>
      </c>
      <c r="D2" s="2" t="inlineStr">
        <is>
          <t>Asset Type</t>
        </is>
      </c>
      <c r="E2" s="2" t="inlineStr">
        <is>
          <t>Description</t>
        </is>
      </c>
      <c r="F2" s="2" t="inlineStr">
        <is>
          <t>Province/Territory</t>
        </is>
      </c>
      <c r="G2" s="2" t="inlineStr">
        <is>
          <t>Acquisition Cost ($)</t>
        </is>
      </c>
      <c r="H2" s="2" t="inlineStr">
        <is>
          <t>Selling Price ($)</t>
        </is>
      </c>
      <c r="I2" s="2" t="inlineStr">
        <is>
          <t>Capital Gain/Loss ($)</t>
        </is>
      </c>
      <c r="J2" s="2" t="inlineStr">
        <is>
          <t>Holding Period (Days)</t>
        </is>
      </c>
      <c r="K2" s="2" t="inlineStr">
        <is>
          <t>Holding Term</t>
        </is>
      </c>
      <c r="L2" s="2" t="inlineStr">
        <is>
          <t>Inclusion Rate</t>
        </is>
      </c>
      <c r="M2" s="2" t="inlineStr">
        <is>
          <t>Taxable Capital Gain/Loss ($)</t>
        </is>
      </c>
      <c r="N2" s="2" t="inlineStr">
        <is>
          <t>Gain Type</t>
        </is>
      </c>
      <c r="O2" s="2" t="inlineStr">
        <is>
          <t>Category Rate Lookup</t>
        </is>
      </c>
      <c r="P2" s="2" t="inlineStr">
        <is>
          <t>Notes</t>
        </is>
      </c>
    </row>
    <row r="3">
      <c r="A3" s="3" t="inlineStr">
        <is>
          <t>2026-03-10</t>
        </is>
      </c>
      <c r="B3" s="3" t="inlineStr">
        <is>
          <t>2026-03-13</t>
        </is>
      </c>
      <c r="C3" s="3" t="inlineStr">
        <is>
          <t>2025-06-01</t>
        </is>
      </c>
      <c r="D3" s="4" t="inlineStr">
        <is>
          <t>Public securities</t>
        </is>
      </c>
      <c r="E3" s="5" t="inlineStr">
        <is>
          <t>Liam - Canadian equity ETF units</t>
        </is>
      </c>
      <c r="F3" s="4" t="inlineStr">
        <is>
          <t>ON</t>
        </is>
      </c>
      <c r="G3" s="6" t="n">
        <v>12500</v>
      </c>
      <c r="H3" s="6" t="n">
        <v>15800</v>
      </c>
      <c r="I3" s="7">
        <f>H3-G3</f>
        <v/>
      </c>
      <c r="J3" s="8">
        <f>A3-C3</f>
        <v/>
      </c>
      <c r="K3" s="8">
        <f>IF(J3&lt;365,"Short-term-like","Long-term-like")</f>
        <v/>
      </c>
      <c r="L3" s="9">
        <f>IF(J3&lt;365,1,0.5)</f>
        <v/>
      </c>
      <c r="M3" s="7">
        <f>I3*L3</f>
        <v/>
      </c>
      <c r="N3" s="8">
        <f>IF(I3&gt;=0,"Gain","Loss")</f>
        <v/>
      </c>
      <c r="O3" s="9">
        <f>IFERROR(VLOOKUP(D3,Inclusion_Rules!$A$3:$D$7,4,FALSE),"")</f>
        <v/>
      </c>
      <c r="P3" s="5" t="inlineStr">
        <is>
          <t>Held in non-registered account</t>
        </is>
      </c>
    </row>
    <row r="4">
      <c r="A4" s="3" t="inlineStr">
        <is>
          <t>2026-05-22</t>
        </is>
      </c>
      <c r="B4" s="3" t="inlineStr">
        <is>
          <t>2026-05-27</t>
        </is>
      </c>
      <c r="C4" s="3" t="inlineStr">
        <is>
          <t>2023-02-14</t>
        </is>
      </c>
      <c r="D4" s="4" t="inlineStr">
        <is>
          <t>Real estate</t>
        </is>
      </c>
      <c r="E4" s="5" t="inlineStr">
        <is>
          <t>Emma - Vancouver condo rental unit</t>
        </is>
      </c>
      <c r="F4" s="4" t="inlineStr">
        <is>
          <t>BC</t>
        </is>
      </c>
      <c r="G4" s="6" t="n">
        <v>410000</v>
      </c>
      <c r="H4" s="6" t="n">
        <v>512000</v>
      </c>
      <c r="I4" s="10">
        <f>H4-G4</f>
        <v/>
      </c>
      <c r="J4" s="11">
        <f>A4-C4</f>
        <v/>
      </c>
      <c r="K4" s="11">
        <f>IF(J4&lt;365,"Short-term-like","Long-term-like")</f>
        <v/>
      </c>
      <c r="L4" s="12">
        <f>IF(J4&lt;365,1,0.5)</f>
        <v/>
      </c>
      <c r="M4" s="10">
        <f>I4*L4</f>
        <v/>
      </c>
      <c r="N4" s="11">
        <f>IF(I4&gt;=0,"Gain","Loss")</f>
        <v/>
      </c>
      <c r="O4" s="12">
        <f>IFERROR(VLOOKUP(D4,Inclusion_Rules!$A$3:$D$7,4,FALSE),"")</f>
        <v/>
      </c>
      <c r="P4" s="5" t="inlineStr">
        <is>
          <t>Rental property, not principal residence</t>
        </is>
      </c>
    </row>
    <row r="5">
      <c r="A5" s="3" t="inlineStr">
        <is>
          <t>2026-02-18</t>
        </is>
      </c>
      <c r="B5" s="3" t="inlineStr">
        <is>
          <t>2026-02-21</t>
        </is>
      </c>
      <c r="C5" s="3" t="inlineStr">
        <is>
          <t>2025-11-05</t>
        </is>
      </c>
      <c r="D5" s="4" t="inlineStr">
        <is>
          <t>Public securities</t>
        </is>
      </c>
      <c r="E5" s="5" t="inlineStr">
        <is>
          <t>Noah - Calgary public shares (energy sector)</t>
        </is>
      </c>
      <c r="F5" s="4" t="inlineStr">
        <is>
          <t>AB</t>
        </is>
      </c>
      <c r="G5" s="6" t="n">
        <v>22000</v>
      </c>
      <c r="H5" s="6" t="n">
        <v>18650</v>
      </c>
      <c r="I5" s="7">
        <f>H5-G5</f>
        <v/>
      </c>
      <c r="J5" s="8">
        <f>A5-C5</f>
        <v/>
      </c>
      <c r="K5" s="8">
        <f>IF(J5&lt;365,"Short-term-like","Long-term-like")</f>
        <v/>
      </c>
      <c r="L5" s="9">
        <f>IF(J5&lt;365,1,0.5)</f>
        <v/>
      </c>
      <c r="M5" s="7">
        <f>I5*L5</f>
        <v/>
      </c>
      <c r="N5" s="8">
        <f>IF(I5&gt;=0,"Gain","Loss")</f>
        <v/>
      </c>
      <c r="O5" s="9">
        <f>IFERROR(VLOOKUP(D5,Inclusion_Rules!$A$3:$D$7,4,FALSE),"")</f>
        <v/>
      </c>
      <c r="P5" s="5" t="inlineStr">
        <is>
          <t>Sold at a loss after price decline</t>
        </is>
      </c>
    </row>
    <row r="6">
      <c r="A6" s="3" t="inlineStr">
        <is>
          <t>2026-07-09</t>
        </is>
      </c>
      <c r="B6" s="3" t="inlineStr">
        <is>
          <t>2026-07-14</t>
        </is>
      </c>
      <c r="C6" s="3" t="inlineStr">
        <is>
          <t>2024-01-20</t>
        </is>
      </c>
      <c r="D6" s="4" t="inlineStr">
        <is>
          <t>Public securities</t>
        </is>
      </c>
      <c r="E6" s="5" t="inlineStr">
        <is>
          <t>Olivia - Balanced mutual fund units</t>
        </is>
      </c>
      <c r="F6" s="4" t="inlineStr">
        <is>
          <t>ON</t>
        </is>
      </c>
      <c r="G6" s="6" t="n">
        <v>9800</v>
      </c>
      <c r="H6" s="6" t="n">
        <v>11675</v>
      </c>
      <c r="I6" s="10">
        <f>H6-G6</f>
        <v/>
      </c>
      <c r="J6" s="11">
        <f>A6-C6</f>
        <v/>
      </c>
      <c r="K6" s="11">
        <f>IF(J6&lt;365,"Short-term-like","Long-term-like")</f>
        <v/>
      </c>
      <c r="L6" s="12">
        <f>IF(J6&lt;365,1,0.5)</f>
        <v/>
      </c>
      <c r="M6" s="10">
        <f>I6*L6</f>
        <v/>
      </c>
      <c r="N6" s="11">
        <f>IF(I6&gt;=0,"Gain","Loss")</f>
        <v/>
      </c>
      <c r="O6" s="12">
        <f>IFERROR(VLOOKUP(D6,Inclusion_Rules!$A$3:$D$7,4,FALSE),"")</f>
        <v/>
      </c>
      <c r="P6" s="5" t="inlineStr">
        <is>
          <t>Systematic withdrawal plan redemption</t>
        </is>
      </c>
    </row>
    <row r="7">
      <c r="A7" s="3" t="inlineStr">
        <is>
          <t>2026-04-30</t>
        </is>
      </c>
      <c r="B7" s="3" t="inlineStr">
        <is>
          <t>2026-05-05</t>
        </is>
      </c>
      <c r="C7" s="3" t="inlineStr">
        <is>
          <t>2025-09-15</t>
        </is>
      </c>
      <c r="D7" s="4" t="inlineStr">
        <is>
          <t>Public securities</t>
        </is>
      </c>
      <c r="E7" s="5" t="inlineStr">
        <is>
          <t>Lucas - U.S. stocks (CAD equivalent)</t>
        </is>
      </c>
      <c r="F7" s="4" t="inlineStr">
        <is>
          <t>QC</t>
        </is>
      </c>
      <c r="G7" s="6" t="n">
        <v>17500</v>
      </c>
      <c r="H7" s="6" t="n">
        <v>19340</v>
      </c>
      <c r="I7" s="7">
        <f>H7-G7</f>
        <v/>
      </c>
      <c r="J7" s="8">
        <f>A7-C7</f>
        <v/>
      </c>
      <c r="K7" s="8">
        <f>IF(J7&lt;365,"Short-term-like","Long-term-like")</f>
        <v/>
      </c>
      <c r="L7" s="9">
        <f>IF(J7&lt;365,1,0.5)</f>
        <v/>
      </c>
      <c r="M7" s="7">
        <f>I7*L7</f>
        <v/>
      </c>
      <c r="N7" s="8">
        <f>IF(I7&gt;=0,"Gain","Loss")</f>
        <v/>
      </c>
      <c r="O7" s="9">
        <f>IFERROR(VLOOKUP(D7,Inclusion_Rules!$A$3:$D$7,4,FALSE),"")</f>
        <v/>
      </c>
      <c r="P7" s="5" t="inlineStr">
        <is>
          <t>Converted USD proceeds to CAD at settlement</t>
        </is>
      </c>
    </row>
    <row r="8">
      <c r="A8" s="3" t="inlineStr">
        <is>
          <t>2026-08-12</t>
        </is>
      </c>
      <c r="B8" s="3" t="inlineStr">
        <is>
          <t>2026-08-17</t>
        </is>
      </c>
      <c r="C8" s="3" t="inlineStr">
        <is>
          <t>2022-03-01</t>
        </is>
      </c>
      <c r="D8" s="4" t="inlineStr">
        <is>
          <t>Business assets</t>
        </is>
      </c>
      <c r="E8" s="5" t="inlineStr">
        <is>
          <t>Sophie - Small business equipment disposal</t>
        </is>
      </c>
      <c r="F8" s="4" t="inlineStr">
        <is>
          <t>NS</t>
        </is>
      </c>
      <c r="G8" s="6" t="n">
        <v>35000</v>
      </c>
      <c r="H8" s="6" t="n">
        <v>47250</v>
      </c>
      <c r="I8" s="10">
        <f>H8-G8</f>
        <v/>
      </c>
      <c r="J8" s="11">
        <f>A8-C8</f>
        <v/>
      </c>
      <c r="K8" s="11">
        <f>IF(J8&lt;365,"Short-term-like","Long-term-like")</f>
        <v/>
      </c>
      <c r="L8" s="12">
        <f>IF(J8&lt;365,1,0.5)</f>
        <v/>
      </c>
      <c r="M8" s="10">
        <f>I8*L8</f>
        <v/>
      </c>
      <c r="N8" s="11">
        <f>IF(I8&gt;=0,"Gain","Loss")</f>
        <v/>
      </c>
      <c r="O8" s="12">
        <f>IFERROR(VLOOKUP(D8,Inclusion_Rules!$A$3:$D$7,4,FALSE),"")</f>
        <v/>
      </c>
      <c r="P8" s="5" t="inlineStr">
        <is>
          <t>Qualified small business corporation shares</t>
        </is>
      </c>
    </row>
    <row r="9">
      <c r="A9" s="3" t="inlineStr">
        <is>
          <t>2026-06-01</t>
        </is>
      </c>
      <c r="B9" s="3" t="inlineStr">
        <is>
          <t>2026-06-04</t>
        </is>
      </c>
      <c r="C9" s="3" t="inlineStr">
        <is>
          <t>2025-12-20</t>
        </is>
      </c>
      <c r="D9" s="4" t="inlineStr">
        <is>
          <t>Crypto assets</t>
        </is>
      </c>
      <c r="E9" s="5" t="inlineStr">
        <is>
          <t>Ethan - Bitcoin holdings</t>
        </is>
      </c>
      <c r="F9" s="4" t="inlineStr">
        <is>
          <t>AB</t>
        </is>
      </c>
      <c r="G9" s="6" t="n">
        <v>14200</v>
      </c>
      <c r="H9" s="6" t="n">
        <v>10900</v>
      </c>
      <c r="I9" s="7">
        <f>H9-G9</f>
        <v/>
      </c>
      <c r="J9" s="8">
        <f>A9-C9</f>
        <v/>
      </c>
      <c r="K9" s="8">
        <f>IF(J9&lt;365,"Short-term-like","Long-term-like")</f>
        <v/>
      </c>
      <c r="L9" s="9">
        <f>IF(J9&lt;365,1,0.5)</f>
        <v/>
      </c>
      <c r="M9" s="7">
        <f>I9*L9</f>
        <v/>
      </c>
      <c r="N9" s="8">
        <f>IF(I9&gt;=0,"Gain","Loss")</f>
        <v/>
      </c>
      <c r="O9" s="9">
        <f>IFERROR(VLOOKUP(D9,Inclusion_Rules!$A$3:$D$7,4,FALSE),"")</f>
        <v/>
      </c>
      <c r="P9" s="5" t="inlineStr">
        <is>
          <t>Volatile asset class, loss realized</t>
        </is>
      </c>
    </row>
    <row r="10">
      <c r="A10" s="3" t="inlineStr">
        <is>
          <t>2026-09-25</t>
        </is>
      </c>
      <c r="B10" s="3" t="inlineStr">
        <is>
          <t>2026-09-30</t>
        </is>
      </c>
      <c r="C10" s="3" t="inlineStr">
        <is>
          <t>2023-08-08</t>
        </is>
      </c>
      <c r="D10" s="4" t="inlineStr">
        <is>
          <t>Collectibles</t>
        </is>
      </c>
      <c r="E10" s="5" t="inlineStr">
        <is>
          <t>Charlotte - Fine art painting</t>
        </is>
      </c>
      <c r="F10" s="4" t="inlineStr">
        <is>
          <t>MB</t>
        </is>
      </c>
      <c r="G10" s="6" t="n">
        <v>8000</v>
      </c>
      <c r="H10" s="6" t="n">
        <v>13250</v>
      </c>
      <c r="I10" s="10">
        <f>H10-G10</f>
        <v/>
      </c>
      <c r="J10" s="11">
        <f>A10-C10</f>
        <v/>
      </c>
      <c r="K10" s="11">
        <f>IF(J10&lt;365,"Short-term-like","Long-term-like")</f>
        <v/>
      </c>
      <c r="L10" s="12">
        <f>IF(J10&lt;365,1,0.5)</f>
        <v/>
      </c>
      <c r="M10" s="10">
        <f>I10*L10</f>
        <v/>
      </c>
      <c r="N10" s="11">
        <f>IF(I10&gt;=0,"Gain","Loss")</f>
        <v/>
      </c>
      <c r="O10" s="12">
        <f>IFERROR(VLOOKUP(D10,Inclusion_Rules!$A$3:$D$7,4,FALSE),"")</f>
        <v/>
      </c>
      <c r="P10" s="5" t="inlineStr">
        <is>
          <t>Personal-use property over $1,000 threshold</t>
        </is>
      </c>
    </row>
    <row r="11">
      <c r="A11" s="3" t="inlineStr">
        <is>
          <t>2026-10-15</t>
        </is>
      </c>
      <c r="B11" s="3" t="inlineStr">
        <is>
          <t>2026-10-20</t>
        </is>
      </c>
      <c r="C11" s="3" t="inlineStr">
        <is>
          <t>2024-10-01</t>
        </is>
      </c>
      <c r="D11" s="4" t="inlineStr">
        <is>
          <t>Real estate</t>
        </is>
      </c>
      <c r="E11" s="5" t="inlineStr">
        <is>
          <t>William - Farmland investment trust units</t>
        </is>
      </c>
      <c r="F11" s="4" t="inlineStr">
        <is>
          <t>QC</t>
        </is>
      </c>
      <c r="G11" s="6" t="n">
        <v>26000</v>
      </c>
      <c r="H11" s="6" t="n">
        <v>29800</v>
      </c>
      <c r="I11" s="7">
        <f>H11-G11</f>
        <v/>
      </c>
      <c r="J11" s="8">
        <f>A11-C11</f>
        <v/>
      </c>
      <c r="K11" s="8">
        <f>IF(J11&lt;365,"Short-term-like","Long-term-like")</f>
        <v/>
      </c>
      <c r="L11" s="9">
        <f>IF(J11&lt;365,1,0.5)</f>
        <v/>
      </c>
      <c r="M11" s="7">
        <f>I11*L11</f>
        <v/>
      </c>
      <c r="N11" s="8">
        <f>IF(I11&gt;=0,"Gain","Loss")</f>
        <v/>
      </c>
      <c r="O11" s="9">
        <f>IFERROR(VLOOKUP(D11,Inclusion_Rules!$A$3:$D$7,4,FALSE),"")</f>
        <v/>
      </c>
      <c r="P11" s="5" t="inlineStr">
        <is>
          <t>Farmland-related REIT units</t>
        </is>
      </c>
    </row>
    <row r="12">
      <c r="A12" s="3" t="inlineStr">
        <is>
          <t>2026-12-05</t>
        </is>
      </c>
      <c r="B12" s="3" t="inlineStr">
        <is>
          <t>2026-12-10</t>
        </is>
      </c>
      <c r="C12" s="3" t="inlineStr">
        <is>
          <t>2026-01-10</t>
        </is>
      </c>
      <c r="D12" s="4" t="inlineStr">
        <is>
          <t>Public securities</t>
        </is>
      </c>
      <c r="E12" s="5" t="inlineStr">
        <is>
          <t>Ava - Preferred shares</t>
        </is>
      </c>
      <c r="F12" s="4" t="inlineStr">
        <is>
          <t>BC</t>
        </is>
      </c>
      <c r="G12" s="6" t="n">
        <v>19500</v>
      </c>
      <c r="H12" s="6" t="n">
        <v>17980</v>
      </c>
      <c r="I12" s="10">
        <f>H12-G12</f>
        <v/>
      </c>
      <c r="J12" s="11">
        <f>A12-C12</f>
        <v/>
      </c>
      <c r="K12" s="11">
        <f>IF(J12&lt;365,"Short-term-like","Long-term-like")</f>
        <v/>
      </c>
      <c r="L12" s="12">
        <f>IF(J12&lt;365,1,0.5)</f>
        <v/>
      </c>
      <c r="M12" s="10">
        <f>I12*L12</f>
        <v/>
      </c>
      <c r="N12" s="11">
        <f>IF(I12&gt;=0,"Gain","Loss")</f>
        <v/>
      </c>
      <c r="O12" s="12">
        <f>IFERROR(VLOOKUP(D12,Inclusion_Rules!$A$3:$D$7,4,FALSE),"")</f>
        <v/>
      </c>
      <c r="P12" s="5" t="inlineStr">
        <is>
          <t>Short holding period, rate reset played against</t>
        </is>
      </c>
    </row>
  </sheetData>
  <mergeCells count="1">
    <mergeCell ref="A1:P1"/>
  </mergeCells>
  <conditionalFormatting sqref="I3:I12">
    <cfRule type="expression" priority="1" dxfId="0" stopIfTrue="1">
      <formula>I3&gt;=0</formula>
    </cfRule>
    <cfRule type="expression" priority="2" dxfId="1" stopIfTrue="1">
      <formula>I3&lt;0</formula>
    </cfRule>
  </conditionalFormatting>
  <conditionalFormatting sqref="M3:M12">
    <cfRule type="expression" priority="3" dxfId="0" stopIfTrue="1">
      <formula>M3&gt;=0</formula>
    </cfRule>
    <cfRule type="expression" priority="4" dxfId="1" stopIfTrue="1">
      <formula>M3&lt;0</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22"/>
  <sheetViews>
    <sheetView workbookViewId="0">
      <selection activeCell="A1" sqref="A1"/>
    </sheetView>
  </sheetViews>
  <sheetFormatPr baseColWidth="8" defaultRowHeight="15"/>
  <cols>
    <col width="34" customWidth="1" min="1" max="1"/>
    <col width="20" customWidth="1" min="2" max="2"/>
    <col width="44" customWidth="1" min="3" max="3"/>
    <col width="16" customWidth="1" min="4" max="4"/>
    <col width="16" customWidth="1" min="5" max="5"/>
    <col width="16" customWidth="1" min="6" max="6"/>
  </cols>
  <sheetData>
    <row r="1" ht="26" customHeight="1">
      <c r="A1" s="13" t="inlineStr">
        <is>
          <t>Capital Gains Inclusion Rate - Summary Dashboard</t>
        </is>
      </c>
    </row>
    <row r="2"/>
    <row r="3">
      <c r="A3" s="14" t="inlineStr">
        <is>
          <t>Key Metrics</t>
        </is>
      </c>
    </row>
    <row r="4">
      <c r="A4" s="15" t="inlineStr">
        <is>
          <t>Total Realized Gains ($)</t>
        </is>
      </c>
      <c r="B4" s="16">
        <f>SUMIF(Transactions!I3:I12,"&gt;0")</f>
        <v/>
      </c>
    </row>
    <row r="5">
      <c r="A5" s="17" t="inlineStr">
        <is>
          <t>Total Realized Losses ($)</t>
        </is>
      </c>
      <c r="B5" s="18">
        <f>SUMIF(Transactions!I3:I12,"&lt;0")</f>
        <v/>
      </c>
    </row>
    <row r="6">
      <c r="A6" s="15" t="inlineStr">
        <is>
          <t>Net Capital Gain/Loss ($)</t>
        </is>
      </c>
      <c r="B6" s="16">
        <f>SUM(Transactions!I3:I12)</f>
        <v/>
      </c>
    </row>
    <row r="7">
      <c r="A7" s="17" t="inlineStr">
        <is>
          <t>Total Taxable Capital Gains ($)</t>
        </is>
      </c>
      <c r="B7" s="18">
        <f>SUMIF(Transactions!M3:M12,"&gt;0")</f>
        <v/>
      </c>
    </row>
    <row r="8">
      <c r="A8" s="15" t="inlineStr">
        <is>
          <t>Average Gain/Loss per Transaction ($)</t>
        </is>
      </c>
      <c r="B8" s="16">
        <f>AVERAGE(Transactions!I3:I12)</f>
        <v/>
      </c>
    </row>
    <row r="9">
      <c r="A9" s="17" t="inlineStr">
        <is>
          <t>Count of Gain Transactions</t>
        </is>
      </c>
      <c r="B9" s="19">
        <f>COUNTIF(Transactions!I3:I12,"&gt;0")</f>
        <v/>
      </c>
    </row>
    <row r="10">
      <c r="A10" s="15" t="inlineStr">
        <is>
          <t>Count of Loss Transactions</t>
        </is>
      </c>
      <c r="B10" s="20">
        <f>COUNTIF(Transactions!I3:I12,"&lt;0")</f>
        <v/>
      </c>
    </row>
    <row r="11">
      <c r="A11" s="17" t="inlineStr">
        <is>
          <t>Estimated Taxable Gain Ratio</t>
        </is>
      </c>
      <c r="B11" s="21">
        <f>IFERROR(B8/B4,0)</f>
        <v/>
      </c>
    </row>
    <row r="12">
      <c r="A12" s="15" t="inlineStr">
        <is>
          <t>Net Position</t>
        </is>
      </c>
      <c r="B12" s="22">
        <f>IF(B6&gt;0,"Net Gain","Net Loss")</f>
        <v/>
      </c>
    </row>
    <row r="13"/>
    <row r="14">
      <c r="A14" s="14" t="inlineStr">
        <is>
          <t>Inclusion Rate Rules Reference</t>
        </is>
      </c>
    </row>
    <row r="15">
      <c r="A15" s="23" t="inlineStr">
        <is>
          <t>Tax Year</t>
        </is>
      </c>
      <c r="B15" s="23" t="inlineStr">
        <is>
          <t>Inclusion Rate</t>
        </is>
      </c>
      <c r="C15" s="23" t="inlineStr">
        <is>
          <t>Notes</t>
        </is>
      </c>
    </row>
    <row r="16">
      <c r="A16" s="22" t="n">
        <v>2026</v>
      </c>
      <c r="B16" s="24" t="n">
        <v>0.5</v>
      </c>
      <c r="C16" s="25" t="inlineStr">
        <is>
          <t>Standard simplified inclusion rate used throughout this workbook.</t>
        </is>
      </c>
    </row>
    <row r="17">
      <c r="A17" s="26" t="inlineStr">
        <is>
          <t>N/A</t>
        </is>
      </c>
      <c r="B17" s="26" t="inlineStr">
        <is>
          <t>Varies</t>
        </is>
      </c>
      <c r="C17" s="27" t="inlineStr">
        <is>
          <t>Actual CRA treatment may differ by asset type, thresholds and future legislative changes.</t>
        </is>
      </c>
    </row>
    <row r="18"/>
    <row r="19">
      <c r="A19" s="14" t="inlineStr">
        <is>
          <t>Gain vs Loss Split</t>
        </is>
      </c>
    </row>
    <row r="20">
      <c r="A20" s="28" t="inlineStr">
        <is>
          <t>Category</t>
        </is>
      </c>
      <c r="B20" s="28" t="inlineStr">
        <is>
          <t>Count</t>
        </is>
      </c>
    </row>
    <row r="21">
      <c r="A21" s="22" t="inlineStr">
        <is>
          <t>Gain</t>
        </is>
      </c>
      <c r="B21" s="22">
        <f>B9</f>
        <v/>
      </c>
    </row>
    <row r="22">
      <c r="A22" s="22" t="inlineStr">
        <is>
          <t>Loss</t>
        </is>
      </c>
      <c r="B22" s="22">
        <f>B10</f>
        <v/>
      </c>
    </row>
  </sheetData>
  <mergeCells count="4">
    <mergeCell ref="A1:F1"/>
    <mergeCell ref="A3:B3"/>
    <mergeCell ref="A14:C14"/>
    <mergeCell ref="A19:B19"/>
  </mergeCells>
  <conditionalFormatting sqref="B6">
    <cfRule type="expression" priority="1" dxfId="0" stopIfTrue="1">
      <formula>B6&gt;=0</formula>
    </cfRule>
    <cfRule type="expression" priority="2" dxfId="1" stopIfTrue="1">
      <formula>B6&lt;0</formula>
    </cfRule>
  </conditionalFormatting>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E23"/>
  <sheetViews>
    <sheetView workbookViewId="0">
      <selection activeCell="A1" sqref="A1"/>
    </sheetView>
  </sheetViews>
  <sheetFormatPr baseColWidth="8" defaultRowHeight="15"/>
  <cols>
    <col width="22" customWidth="1" min="1" max="1"/>
    <col width="26" customWidth="1" min="2" max="2"/>
    <col width="30" customWidth="1" min="3" max="3"/>
    <col width="16" customWidth="1" min="4" max="4"/>
    <col width="50" customWidth="1" min="5" max="5"/>
  </cols>
  <sheetData>
    <row r="1" ht="26" customHeight="1">
      <c r="A1" s="13" t="inlineStr">
        <is>
          <t>Inclusion Rate Rules &amp; CRA Reference Notes</t>
        </is>
      </c>
    </row>
    <row r="2">
      <c r="A2" s="29" t="inlineStr">
        <is>
          <t>Lookup table used by VLOOKUP in the Transactions sheet (Category Rate Lookup column).</t>
        </is>
      </c>
    </row>
    <row r="3" ht="30" customHeight="1">
      <c r="A3" s="2" t="inlineStr">
        <is>
          <t>Asset Category</t>
        </is>
      </c>
      <c r="B3" s="2" t="inlineStr">
        <is>
          <t>Rule Type</t>
        </is>
      </c>
      <c r="C3" s="2" t="inlineStr">
        <is>
          <t>Threshold</t>
        </is>
      </c>
      <c r="D3" s="2" t="inlineStr">
        <is>
          <t>Inclusion Rate</t>
        </is>
      </c>
      <c r="E3" s="2" t="inlineStr">
        <is>
          <t>Tax Treatment Note</t>
        </is>
      </c>
    </row>
    <row r="4">
      <c r="A4" s="8" t="inlineStr">
        <is>
          <t>Public securities</t>
        </is>
      </c>
      <c r="B4" s="8" t="inlineStr">
        <is>
          <t>Simplified holding period</t>
        </is>
      </c>
      <c r="C4" s="8" t="inlineStr">
        <is>
          <t>N/A</t>
        </is>
      </c>
      <c r="D4" s="9" t="n">
        <v>0.5</v>
      </c>
      <c r="E4" s="25" t="inlineStr">
        <is>
          <t>Standard inclusion rate applies to publicly traded shares, ETFs and mutual funds.</t>
        </is>
      </c>
    </row>
    <row r="5">
      <c r="A5" s="11" t="inlineStr">
        <is>
          <t>Real estate</t>
        </is>
      </c>
      <c r="B5" s="11" t="inlineStr">
        <is>
          <t>Non-principal residence</t>
        </is>
      </c>
      <c r="C5" s="11" t="inlineStr">
        <is>
          <t>N/A</t>
        </is>
      </c>
      <c r="D5" s="12" t="n">
        <v>0.5</v>
      </c>
      <c r="E5" s="27" t="inlineStr">
        <is>
          <t>Principal residence exemption may apply and is NOT modelled in this simplified workbook.</t>
        </is>
      </c>
    </row>
    <row r="6">
      <c r="A6" s="8" t="inlineStr">
        <is>
          <t>Crypto assets</t>
        </is>
      </c>
      <c r="B6" s="8" t="inlineStr">
        <is>
          <t>Business vs capital treatment</t>
        </is>
      </c>
      <c r="C6" s="8" t="inlineStr">
        <is>
          <t>N/A</t>
        </is>
      </c>
      <c r="D6" s="9" t="n">
        <v>0.5</v>
      </c>
      <c r="E6" s="25" t="inlineStr">
        <is>
          <t>CRA may treat frequent crypto trading as business income rather than capital gain.</t>
        </is>
      </c>
    </row>
    <row r="7">
      <c r="A7" s="11" t="inlineStr">
        <is>
          <t>Business assets</t>
        </is>
      </c>
      <c r="B7" s="11" t="inlineStr">
        <is>
          <t>Qualified small business corp. shares</t>
        </is>
      </c>
      <c r="C7" s="11" t="inlineStr">
        <is>
          <t>Lifetime capital gains exemption may apply</t>
        </is>
      </c>
      <c r="D7" s="12" t="n">
        <v>0.5</v>
      </c>
      <c r="E7" s="27" t="inlineStr">
        <is>
          <t>Consult a tax professional regarding the lifetime capital gains exemption (LCGE).</t>
        </is>
      </c>
    </row>
    <row r="8">
      <c r="A8" s="8" t="inlineStr">
        <is>
          <t>Collectibles</t>
        </is>
      </c>
      <c r="B8" s="8" t="inlineStr">
        <is>
          <t>Personal-use property</t>
        </is>
      </c>
      <c r="C8" s="8" t="inlineStr">
        <is>
          <t>$1,000 minimum ACB/proceeds</t>
        </is>
      </c>
      <c r="D8" s="9" t="n">
        <v>0.5</v>
      </c>
      <c r="E8" s="25" t="inlineStr">
        <is>
          <t>Listed personal property rules apply; losses may only offset listed personal property gains.</t>
        </is>
      </c>
    </row>
    <row r="9"/>
    <row r="10">
      <c r="A10" s="14" t="inlineStr">
        <is>
          <t>Transaction Count by Category</t>
        </is>
      </c>
    </row>
    <row r="11">
      <c r="A11" s="30" t="inlineStr">
        <is>
          <t>Asset Category</t>
        </is>
      </c>
      <c r="B11" s="30" t="inlineStr">
        <is>
          <t>Count</t>
        </is>
      </c>
    </row>
    <row r="12">
      <c r="A12" s="22" t="inlineStr">
        <is>
          <t>Public securities</t>
        </is>
      </c>
      <c r="B12" s="22">
        <f>COUNTIF(Transactions!$D$3:$D$12,A12)</f>
        <v/>
      </c>
    </row>
    <row r="13">
      <c r="A13" s="26" t="inlineStr">
        <is>
          <t>Real estate</t>
        </is>
      </c>
      <c r="B13" s="26">
        <f>COUNTIF(Transactions!$D$3:$D$12,A13)</f>
        <v/>
      </c>
    </row>
    <row r="14">
      <c r="A14" s="22" t="inlineStr">
        <is>
          <t>Crypto assets</t>
        </is>
      </c>
      <c r="B14" s="22">
        <f>COUNTIF(Transactions!$D$3:$D$12,A14)</f>
        <v/>
      </c>
    </row>
    <row r="15">
      <c r="A15" s="26" t="inlineStr">
        <is>
          <t>Business assets</t>
        </is>
      </c>
      <c r="B15" s="26">
        <f>COUNTIF(Transactions!$D$3:$D$12,A15)</f>
        <v/>
      </c>
    </row>
    <row r="16">
      <c r="A16" s="22" t="inlineStr">
        <is>
          <t>Collectibles</t>
        </is>
      </c>
      <c r="B16" s="22">
        <f>COUNTIF(Transactions!$D$3:$D$12,A16)</f>
        <v/>
      </c>
    </row>
    <row r="17"/>
    <row r="18"/>
    <row r="19">
      <c r="A19" s="14" t="inlineStr">
        <is>
          <t>Canadian Tax Disclaimer</t>
        </is>
      </c>
    </row>
    <row r="20">
      <c r="A20" s="31" t="inlineStr">
        <is>
          <t>This workbook uses a simplified 50% inclusion rate for planning and tracking purposes only. Actual CRA rules may differ significantly for principal residence dispositions, qualified small business corporation shares, depreciable property (recapture and terminal losses), superficial losses, listed personal property, and other exceptions. Always consult a qualified Canadian tax professional or refer to current CRA guidance before filing.</t>
        </is>
      </c>
    </row>
    <row r="21"/>
    <row r="22"/>
    <row r="23"/>
  </sheetData>
  <mergeCells count="5">
    <mergeCell ref="A1:E1"/>
    <mergeCell ref="A2:E2"/>
    <mergeCell ref="A10:B10"/>
    <mergeCell ref="A19:E19"/>
    <mergeCell ref="A20:E2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0" customWidth="1" min="1" max="1"/>
    <col width="100" customWidth="1" min="2" max="2"/>
  </cols>
  <sheetData>
    <row r="1" ht="26" customHeight="1">
      <c r="A1" s="13" t="inlineStr">
        <is>
          <t>How to Use This Workbook</t>
        </is>
      </c>
    </row>
    <row r="2"/>
    <row r="3">
      <c r="A3" s="23" t="inlineStr">
        <is>
          <t>Sheet</t>
        </is>
      </c>
      <c r="B3" s="23" t="inlineStr">
        <is>
          <t>Description</t>
        </is>
      </c>
    </row>
    <row r="4" ht="70" customHeight="1">
      <c r="A4" s="32" t="inlineStr">
        <is>
          <t>Transactions</t>
        </is>
      </c>
      <c r="B4" s="33" t="inlineStr">
        <is>
          <t>Enter each capital disposition here: dates, asset type, description, province, acquisition cost and selling price (pale yellow cells). Capital Gain/Loss, Holding Period, Inclusion Rate, Taxable Capital Gain/Loss and Gain Type are calculated automatically. The Category Rate Lookup column pulls the reference inclusion rate from Inclusion_Rules via VLOOKUP, based on Asset Type.</t>
        </is>
      </c>
    </row>
    <row r="5" ht="70" customHeight="1">
      <c r="A5" s="34" t="inlineStr">
        <is>
          <t>Summary</t>
        </is>
      </c>
      <c r="B5" s="35" t="inlineStr">
        <is>
          <t>Dashboard showing total realized gains and losses, net position, average gain/loss, taxable gain totals, transaction counts and the estimated taxable gain ratio. Includes an inclusion rate rules reference table, a Gain vs Loss count table, a clustered column chart of gains/losses per transaction, and a pie chart of the gain versus loss split.</t>
        </is>
      </c>
    </row>
    <row r="6" ht="70" customHeight="1">
      <c r="A6" s="32" t="inlineStr">
        <is>
          <t>Inclusion_Rules</t>
        </is>
      </c>
      <c r="B6" s="33" t="inlineStr">
        <is>
          <t>Reference lookup table used by the Transactions sheet, listing simplified inclusion rates and CRA tax treatment notes by asset category (public securities, real estate, crypto assets, business assets and collectibles), plus a transaction count by category and a Canadian tax disclaimer.</t>
        </is>
      </c>
    </row>
    <row r="7" ht="70" customHeight="1">
      <c r="A7" s="34" t="inlineStr">
        <is>
          <t>General</t>
        </is>
      </c>
      <c r="B7" s="35" t="inlineStr">
        <is>
          <t>This workbook applies a simplified 50% capital gains inclusion rate for the 2026 tax year, with a placeholder 100% rate for holdings under 365 days used only to illustrate short-term-like versus long-term-like treatment. It is a planning and tracking tool, not a substitute for professional tax advice or actual CRA filing calculations.</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2026-07-01T23:23:47Z</dcterms:created>
  <dcterms:modified xmlns:dcterms="http://purl.org/dc/terms/" xmlns:xsi="http://www.w3.org/2001/XMLSchema-instance" xsi:type="dcterms:W3CDTF">2026-07-01T23:23:47Z</dcterms:modified>
</cp:coreProperties>
</file>