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Components" sheetId="2" state="visible" r:id="rId2"/>
    <sheet xmlns:r="http://schemas.openxmlformats.org/officeDocument/2006/relationships" name="Projection" sheetId="3" state="visible" r:id="rId3"/>
    <sheet xmlns:r="http://schemas.openxmlformats.org/officeDocument/2006/relationships" name="Dashboar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$#,##0.00"/>
  </numFmts>
  <fonts count="4">
    <font>
      <name val="Calibri"/>
      <family val="2"/>
      <color theme="1"/>
      <sz val="11"/>
      <scheme val="minor"/>
    </font>
    <font>
      <b val="1"/>
      <color rgb="001E293B"/>
      <sz val="16"/>
    </font>
    <font>
      <b val="1"/>
      <color rgb="00FFFFFF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C8102E"/>
      </patternFill>
    </fill>
    <fill>
      <patternFill patternType="solid">
        <fgColor rgb="00FFFBEB"/>
      </patternFill>
    </fill>
    <fill>
      <patternFill patternType="solid">
        <fgColor rgb="001E293B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left" vertical="center" wrapText="1"/>
    </xf>
    <xf numFmtId="0" fontId="0" fillId="2" borderId="1" pivotButton="0" quotePrefix="0" xfId="0"/>
    <xf numFmtId="0" fontId="0" fillId="0" borderId="0" applyAlignment="1" pivotButton="0" quotePrefix="0" xfId="0">
      <alignment horizontal="left" vertical="center" wrapText="1"/>
    </xf>
    <xf numFmtId="0" fontId="2" fillId="2" borderId="1" pivotButton="0" quotePrefix="0" xfId="0"/>
    <xf numFmtId="0" fontId="3" fillId="0" borderId="1" pivotButton="0" quotePrefix="0" xfId="0"/>
    <xf numFmtId="0" fontId="0" fillId="3" borderId="1" pivotButton="0" quotePrefix="0" xfId="0"/>
    <xf numFmtId="164" fontId="0" fillId="3" borderId="1" pivotButton="0" quotePrefix="0" xfId="0"/>
    <xf numFmtId="165" fontId="0" fillId="3" borderId="1" pivotButton="0" quotePrefix="0" xfId="0"/>
    <xf numFmtId="10" fontId="0" fillId="3" borderId="1" pivotButton="0" quotePrefix="0" xfId="0"/>
    <xf numFmtId="0" fontId="2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164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left" vertical="center" wrapText="1"/>
    </xf>
    <xf numFmtId="10" fontId="0" fillId="3" borderId="1" applyAlignment="1" pivotButton="0" quotePrefix="0" xfId="0">
      <alignment horizontal="center" vertical="center" wrapText="1"/>
    </xf>
    <xf numFmtId="165" fontId="0" fillId="5" borderId="1" pivotButton="0" quotePrefix="0" xfId="0"/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165" fontId="0" fillId="0" borderId="1" pivotButton="0" quotePrefix="0" xfId="0"/>
    <xf numFmtId="0" fontId="3" fillId="0" borderId="0" pivotButton="0" quotePrefix="0" xfId="0"/>
    <xf numFmtId="165" fontId="3" fillId="0" borderId="1" pivotButton="0" quotePrefix="0" xfId="0"/>
    <xf numFmtId="0" fontId="0" fillId="0" borderId="1" pivotButton="0" quotePrefix="0" xfId="0"/>
    <xf numFmtId="0" fontId="0" fillId="5" borderId="1" pivotButton="0" quotePrefix="0" xfId="0"/>
    <xf numFmtId="0" fontId="2" fillId="4" borderId="1" pivotButton="0" quotePrefix="0" xfId="0"/>
    <xf numFmtId="0" fontId="3" fillId="5" borderId="1" pivotButton="0" quotePrefix="0" xfId="0"/>
    <xf numFmtId="1" fontId="0" fillId="0" borderId="1" pivotButton="0" quotePrefix="0" xfId="0"/>
    <xf numFmtId="1" fontId="0" fillId="5" borderId="1" pivotButton="0" quotePrefix="0" xfId="0"/>
    <xf numFmtId="10" fontId="0" fillId="5" borderId="1" pivotButton="0" quotePrefix="0" xfId="0"/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Projected Ending Reserve Balance (CAD)</a:t>
            </a:r>
          </a:p>
        </rich>
      </tx>
    </title>
    <plotArea>
      <lineChart>
        <grouping val="standard"/>
        <ser>
          <idx val="0"/>
          <order val="0"/>
          <tx>
            <strRef>
              <f>'Projection'!H1</f>
            </strRef>
          </tx>
          <spPr>
            <a:ln xmlns:a="http://schemas.openxmlformats.org/drawingml/2006/main" w="25000">
              <a:solidFill>
                <a:srgbClr val="1E293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'Projection'!$A$2:$A$21</f>
            </numRef>
          </cat>
          <val>
            <numRef>
              <f>'Projection'!$H$2:$H$21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Year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Balance (CAD)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Annual Capital Expenditures (CAD)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'Projection'!F1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'Projection'!$A$2:$A$21</f>
            </numRef>
          </cat>
          <val>
            <numRef>
              <f>'Projection'!$F$2:$F$21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Year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Expenditure (CAD)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Replacement Cost by Component Category</a:t>
            </a:r>
          </a:p>
        </rich>
      </tx>
    </title>
    <plotArea>
      <doughnutChart>
        <varyColors val="1"/>
        <ser>
          <idx val="0"/>
          <order val="0"/>
          <tx>
            <strRef>
              <f>'Dashboard'!E3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'Dashboard'!$D$4:$D$10</f>
            </numRef>
          </cat>
          <val>
            <numRef>
              <f>'Dashboard'!$E$4:$E$10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14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34</row>
      <rowOff>0</rowOff>
    </from>
    <ext cx="720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10</col>
      <colOff>0</colOff>
      <row>14</row>
      <rowOff>0</rowOff>
    </from>
    <ext cx="576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52" customWidth="1" min="2" max="2"/>
  </cols>
  <sheetData>
    <row r="1">
      <c r="A1" s="1" t="inlineStr">
        <is>
          <t>Canadian Condominium Reserve Fund Study Template</t>
        </is>
      </c>
    </row>
    <row r="3">
      <c r="A3" s="2" t="inlineStr">
        <is>
          <t>User Guide</t>
        </is>
      </c>
      <c r="B3" s="3" t="n"/>
    </row>
    <row r="4">
      <c r="A4" s="4" t="inlineStr">
        <is>
          <t>1. Purpose: this workbook estimates reserve fund requirements, forecasts major</t>
        </is>
      </c>
    </row>
    <row r="5">
      <c r="A5" s="4" t="inlineStr">
        <is>
          <t xml:space="preserve">    capital expenditures, and assesses annual owner contributions. All figures are</t>
        </is>
      </c>
    </row>
    <row r="6">
      <c r="A6" s="4" t="inlineStr">
        <is>
          <t xml:space="preserve">    estimates only and actual costs and timing will vary.</t>
        </is>
      </c>
    </row>
    <row r="7">
      <c r="A7" s="4" t="inlineStr">
        <is>
          <t>2. Yellow cells are user inputs; navy/white cells contain formulas. Do not overtype</t>
        </is>
      </c>
    </row>
    <row r="8">
      <c r="A8" s="4" t="inlineStr">
        <is>
          <t xml:space="preserve">    formula cells.</t>
        </is>
      </c>
    </row>
    <row r="9">
      <c r="A9" s="4" t="inlineStr">
        <is>
          <t>3. Update component condition, remaining life, replacement cost, inflation, and the</t>
        </is>
      </c>
    </row>
    <row r="10">
      <c r="A10" s="4" t="inlineStr">
        <is>
          <t xml:space="preserve">    current reserve balance annually.</t>
        </is>
      </c>
    </row>
    <row r="11">
      <c r="A11" s="4" t="inlineStr">
        <is>
          <t>4. GST/HST treatment must be confirmed with the condominium corporation's accountant</t>
        </is>
      </c>
    </row>
    <row r="12">
      <c r="A12" s="4" t="inlineStr">
        <is>
          <t xml:space="preserve">    and the applicable provincial rules before finalising any budget.</t>
        </is>
      </c>
    </row>
    <row r="13">
      <c r="A13" s="4" t="inlineStr">
        <is>
          <t>5. Study assumptions should be reviewed by a qualified reserve fund professional and</t>
        </is>
      </c>
    </row>
    <row r="14">
      <c r="A14" s="4" t="inlineStr">
        <is>
          <t xml:space="preserve">    aligned with applicable provincial condominium legislation.</t>
        </is>
      </c>
    </row>
    <row r="15">
      <c r="A15" s="4" t="inlineStr">
        <is>
          <t>6. Worksheets are not protected; edit freely and keep a backup copy.</t>
        </is>
      </c>
    </row>
    <row r="17">
      <c r="A17" s="5" t="inlineStr">
        <is>
          <t>Property Profile</t>
        </is>
      </c>
      <c r="B17" s="3" t="n"/>
    </row>
    <row r="18">
      <c r="A18" s="6" t="inlineStr">
        <is>
          <t>Condominium corporation</t>
        </is>
      </c>
      <c r="B18" s="7" t="inlineStr">
        <is>
          <t>Maple Heights Condominium Corporation No. 184</t>
        </is>
      </c>
    </row>
    <row r="19">
      <c r="A19" s="6" t="inlineStr">
        <is>
          <t>City</t>
        </is>
      </c>
      <c r="B19" s="7" t="inlineStr">
        <is>
          <t>Toronto</t>
        </is>
      </c>
    </row>
    <row r="20">
      <c r="A20" s="6" t="inlineStr">
        <is>
          <t>Province</t>
        </is>
      </c>
      <c r="B20" s="7" t="inlineStr">
        <is>
          <t>Ontario</t>
        </is>
      </c>
    </row>
    <row r="21">
      <c r="A21" s="6" t="inlineStr">
        <is>
          <t>Study date</t>
        </is>
      </c>
      <c r="B21" s="8" t="n">
        <v>46127</v>
      </c>
    </row>
    <row r="22">
      <c r="A22" s="6" t="inlineStr">
        <is>
          <t>Fiscal year end</t>
        </is>
      </c>
      <c r="B22" s="8" t="n">
        <v>46387</v>
      </c>
    </row>
    <row r="23">
      <c r="A23" s="6" t="inlineStr">
        <is>
          <t>Reserve fund balance</t>
        </is>
      </c>
      <c r="B23" s="9" t="n">
        <v>485000</v>
      </c>
    </row>
    <row r="24">
      <c r="A24" s="6" t="inlineStr">
        <is>
          <t>Annual inflation assumption</t>
        </is>
      </c>
      <c r="B24" s="10" t="n">
        <v>0.03</v>
      </c>
    </row>
    <row r="25">
      <c r="A25" s="6" t="inlineStr">
        <is>
          <t>Recommended contingency</t>
        </is>
      </c>
      <c r="B25" s="10" t="n">
        <v>0.05</v>
      </c>
    </row>
    <row r="26">
      <c r="A26" s="6" t="inlineStr">
        <is>
          <t>GST/HST assumption</t>
        </is>
      </c>
      <c r="B26" s="10" t="n">
        <v>0.13</v>
      </c>
    </row>
    <row r="27">
      <c r="A27" s="6" t="inlineStr">
        <is>
          <t>Prepared by</t>
        </is>
      </c>
      <c r="B27" s="7" t="inlineStr">
        <is>
          <t>Sophie Tremblay, Reserve Planning Consultant</t>
        </is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1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24" customWidth="1" min="2" max="2"/>
    <col width="22" customWidth="1" min="3" max="3"/>
    <col width="15" customWidth="1" min="4" max="4"/>
    <col width="16" customWidth="1" min="5" max="5"/>
    <col width="15" customWidth="1" min="6" max="6"/>
    <col width="13" customWidth="1" min="7" max="7"/>
    <col width="12" customWidth="1" min="8" max="8"/>
    <col width="18" customWidth="1" min="9" max="9"/>
    <col width="12" customWidth="1" min="10" max="10"/>
    <col width="13" customWidth="1" min="11" max="11"/>
    <col width="20" customWidth="1" min="12" max="12"/>
    <col width="11" customWidth="1" min="13" max="13"/>
    <col width="30" customWidth="1" min="14" max="14"/>
    <col width="14" customWidth="1" min="15" max="15"/>
    <col width="20" customWidth="1" min="16" max="16"/>
  </cols>
  <sheetData>
    <row r="1">
      <c r="A1" s="11" t="inlineStr">
        <is>
          <t>Component ID</t>
        </is>
      </c>
      <c r="B1" s="11" t="inlineStr">
        <is>
          <t>Building Element</t>
        </is>
      </c>
      <c r="C1" s="11" t="inlineStr">
        <is>
          <t>Category</t>
        </is>
      </c>
      <c r="D1" s="11" t="inlineStr">
        <is>
          <t>Location / City</t>
        </is>
      </c>
      <c r="E1" s="11" t="inlineStr">
        <is>
          <t>Last Renewal Date</t>
        </is>
      </c>
      <c r="F1" s="11" t="inlineStr">
        <is>
          <t>Current Condition</t>
        </is>
      </c>
      <c r="G1" s="11" t="inlineStr">
        <is>
          <t>Remaining Life (Years)</t>
        </is>
      </c>
      <c r="H1" s="11" t="inlineStr">
        <is>
          <t>Useful Life (Years)</t>
        </is>
      </c>
      <c r="I1" s="11" t="inlineStr">
        <is>
          <t>Current Replacement Cost (CAD)</t>
        </is>
      </c>
      <c r="J1" s="11" t="inlineStr">
        <is>
          <t>Annual Inflation (%)</t>
        </is>
      </c>
      <c r="K1" s="11" t="inlineStr">
        <is>
          <t>GST/HST Included?</t>
        </is>
      </c>
      <c r="L1" s="11" t="inlineStr">
        <is>
          <t>Responsible Contact</t>
        </is>
      </c>
      <c r="M1" s="11" t="inlineStr">
        <is>
          <t>Priority</t>
        </is>
      </c>
      <c r="N1" s="11" t="inlineStr">
        <is>
          <t>Notes</t>
        </is>
      </c>
      <c r="O1" s="11" t="inlineStr">
        <is>
          <t>Projected Renewal Year</t>
        </is>
      </c>
      <c r="P1" s="11" t="inlineStr">
        <is>
          <t>Inflated Replacement Cost (CAD)</t>
        </is>
      </c>
    </row>
    <row r="2">
      <c r="A2" s="12" t="inlineStr">
        <is>
          <t>RC-001</t>
        </is>
      </c>
      <c r="B2" s="13" t="inlineStr">
        <is>
          <t>Roof membrane</t>
        </is>
      </c>
      <c r="C2" s="13" t="inlineStr">
        <is>
          <t>Building envelope</t>
        </is>
      </c>
      <c r="D2" s="12" t="inlineStr">
        <is>
          <t>Toronto</t>
        </is>
      </c>
      <c r="E2" s="14" t="n">
        <v>42536</v>
      </c>
      <c r="F2" s="15" t="inlineStr">
        <is>
          <t>Fair</t>
        </is>
      </c>
      <c r="G2" s="15" t="n">
        <v>5</v>
      </c>
      <c r="H2" s="15" t="n">
        <v>25</v>
      </c>
      <c r="I2" s="16" t="n">
        <v>185000</v>
      </c>
      <c r="J2" s="17" t="n">
        <v>0.03</v>
      </c>
      <c r="K2" s="15" t="inlineStr">
        <is>
          <t>No</t>
        </is>
      </c>
      <c r="L2" s="13" t="inlineStr">
        <is>
          <t>Liam Chen</t>
        </is>
      </c>
      <c r="M2" s="15" t="inlineStr">
        <is>
          <t>High</t>
        </is>
      </c>
      <c r="N2" s="13" t="inlineStr">
        <is>
          <t>Full replacement incl. insulation</t>
        </is>
      </c>
      <c r="O2" s="12">
        <f>2026+G2</f>
        <v/>
      </c>
      <c r="P2" s="18">
        <f>ROUND(I2*(1+J2)^G2,2)</f>
        <v/>
      </c>
    </row>
    <row r="3">
      <c r="A3" s="19" t="inlineStr">
        <is>
          <t>RC-002</t>
        </is>
      </c>
      <c r="B3" s="20" t="inlineStr">
        <is>
          <t>Balcony repairs</t>
        </is>
      </c>
      <c r="C3" s="20" t="inlineStr">
        <is>
          <t>Building envelope</t>
        </is>
      </c>
      <c r="D3" s="19" t="inlineStr">
        <is>
          <t>Toronto</t>
        </is>
      </c>
      <c r="E3" s="14" t="n">
        <v>43697</v>
      </c>
      <c r="F3" s="15" t="inlineStr">
        <is>
          <t>Good</t>
        </is>
      </c>
      <c r="G3" s="15" t="n">
        <v>8</v>
      </c>
      <c r="H3" s="15" t="n">
        <v>30</v>
      </c>
      <c r="I3" s="16" t="n">
        <v>240000</v>
      </c>
      <c r="J3" s="17" t="n">
        <v>0.03</v>
      </c>
      <c r="K3" s="15" t="inlineStr">
        <is>
          <t>No</t>
        </is>
      </c>
      <c r="L3" s="20" t="inlineStr">
        <is>
          <t>Emma Wilson</t>
        </is>
      </c>
      <c r="M3" s="15" t="inlineStr">
        <is>
          <t>Medium</t>
        </is>
      </c>
      <c r="N3" s="20" t="inlineStr">
        <is>
          <t>Concrete restoration and railings</t>
        </is>
      </c>
      <c r="O3" s="19">
        <f>2026+G3</f>
        <v/>
      </c>
      <c r="P3" s="21">
        <f>ROUND(I3*(1+J3)^G3,2)</f>
        <v/>
      </c>
    </row>
    <row r="4">
      <c r="A4" s="12" t="inlineStr">
        <is>
          <t>RC-003</t>
        </is>
      </c>
      <c r="B4" s="13" t="inlineStr">
        <is>
          <t>Domestic water boilers</t>
        </is>
      </c>
      <c r="C4" s="13" t="inlineStr">
        <is>
          <t>Mechanical</t>
        </is>
      </c>
      <c r="D4" s="12" t="inlineStr">
        <is>
          <t>Toronto</t>
        </is>
      </c>
      <c r="E4" s="14" t="n">
        <v>43169</v>
      </c>
      <c r="F4" s="15" t="inlineStr">
        <is>
          <t>Fair</t>
        </is>
      </c>
      <c r="G4" s="15" t="n">
        <v>4</v>
      </c>
      <c r="H4" s="15" t="n">
        <v>20</v>
      </c>
      <c r="I4" s="16" t="n">
        <v>92000</v>
      </c>
      <c r="J4" s="17" t="n">
        <v>0.03</v>
      </c>
      <c r="K4" s="15" t="inlineStr">
        <is>
          <t>Yes</t>
        </is>
      </c>
      <c r="L4" s="13" t="inlineStr">
        <is>
          <t>Noah Martin</t>
        </is>
      </c>
      <c r="M4" s="15" t="inlineStr">
        <is>
          <t>High</t>
        </is>
      </c>
      <c r="N4" s="13" t="inlineStr">
        <is>
          <t>Two boilers, quote pending</t>
        </is>
      </c>
      <c r="O4" s="12">
        <f>2026+G4</f>
        <v/>
      </c>
      <c r="P4" s="18">
        <f>ROUND(I4*(1+J4)^G4,2)</f>
        <v/>
      </c>
    </row>
    <row r="5">
      <c r="A5" s="19" t="inlineStr">
        <is>
          <t>RC-004</t>
        </is>
      </c>
      <c r="B5" s="20" t="inlineStr">
        <is>
          <t>Garage membrane</t>
        </is>
      </c>
      <c r="C5" s="20" t="inlineStr">
        <is>
          <t>Parking</t>
        </is>
      </c>
      <c r="D5" s="19" t="inlineStr">
        <is>
          <t>Toronto</t>
        </is>
      </c>
      <c r="E5" s="14" t="n">
        <v>41760</v>
      </c>
      <c r="F5" s="15" t="inlineStr">
        <is>
          <t>Poor</t>
        </is>
      </c>
      <c r="G5" s="15" t="n">
        <v>2</v>
      </c>
      <c r="H5" s="15" t="n">
        <v>15</v>
      </c>
      <c r="I5" s="16" t="n">
        <v>310000</v>
      </c>
      <c r="J5" s="17" t="n">
        <v>0.03</v>
      </c>
      <c r="K5" s="15" t="inlineStr">
        <is>
          <t>No</t>
        </is>
      </c>
      <c r="L5" s="20" t="inlineStr">
        <is>
          <t>Olivia Roy</t>
        </is>
      </c>
      <c r="M5" s="15" t="inlineStr">
        <is>
          <t>Critical</t>
        </is>
      </c>
      <c r="N5" s="20" t="inlineStr">
        <is>
          <t>Active leaks reported P2 level</t>
        </is>
      </c>
      <c r="O5" s="19">
        <f>2026+G5</f>
        <v/>
      </c>
      <c r="P5" s="21">
        <f>ROUND(I5*(1+J5)^G5,2)</f>
        <v/>
      </c>
    </row>
    <row r="6">
      <c r="A6" s="12" t="inlineStr">
        <is>
          <t>RC-005</t>
        </is>
      </c>
      <c r="B6" s="13" t="inlineStr">
        <is>
          <t>Elevators</t>
        </is>
      </c>
      <c r="C6" s="13" t="inlineStr">
        <is>
          <t>Vertical transportation</t>
        </is>
      </c>
      <c r="D6" s="12" t="inlineStr">
        <is>
          <t>Toronto</t>
        </is>
      </c>
      <c r="E6" s="14" t="n">
        <v>44451</v>
      </c>
      <c r="F6" s="15" t="inlineStr">
        <is>
          <t>Good</t>
        </is>
      </c>
      <c r="G6" s="15" t="n">
        <v>12</v>
      </c>
      <c r="H6" s="15" t="n">
        <v>25</v>
      </c>
      <c r="I6" s="16" t="n">
        <v>425000</v>
      </c>
      <c r="J6" s="17" t="n">
        <v>0.03</v>
      </c>
      <c r="K6" s="15" t="inlineStr">
        <is>
          <t>Yes</t>
        </is>
      </c>
      <c r="L6" s="13" t="inlineStr">
        <is>
          <t>Lucas Brown</t>
        </is>
      </c>
      <c r="M6" s="15" t="inlineStr">
        <is>
          <t>Medium</t>
        </is>
      </c>
      <c r="N6" s="13" t="inlineStr">
        <is>
          <t>Modernisation of both cabs</t>
        </is>
      </c>
      <c r="O6" s="12">
        <f>2026+G6</f>
        <v/>
      </c>
      <c r="P6" s="18">
        <f>ROUND(I6*(1+J6)^G6,2)</f>
        <v/>
      </c>
    </row>
    <row r="7">
      <c r="A7" s="19" t="inlineStr">
        <is>
          <t>RC-006</t>
        </is>
      </c>
      <c r="B7" s="20" t="inlineStr">
        <is>
          <t>Domestic water piping</t>
        </is>
      </c>
      <c r="C7" s="20" t="inlineStr">
        <is>
          <t>Plumbing</t>
        </is>
      </c>
      <c r="D7" s="19" t="inlineStr">
        <is>
          <t>Toronto</t>
        </is>
      </c>
      <c r="E7" s="14" t="n">
        <v>39644</v>
      </c>
      <c r="F7" s="15" t="inlineStr">
        <is>
          <t>Fair</t>
        </is>
      </c>
      <c r="G7" s="15" t="n">
        <v>7</v>
      </c>
      <c r="H7" s="15" t="n">
        <v>40</v>
      </c>
      <c r="I7" s="16" t="n">
        <v>275000</v>
      </c>
      <c r="J7" s="17" t="n">
        <v>0.03</v>
      </c>
      <c r="K7" s="15" t="inlineStr">
        <is>
          <t>No</t>
        </is>
      </c>
      <c r="L7" s="20" t="inlineStr">
        <is>
          <t>Sophie Tremblay</t>
        </is>
      </c>
      <c r="M7" s="15" t="inlineStr">
        <is>
          <t>High</t>
        </is>
      </c>
      <c r="N7" s="20" t="inlineStr">
        <is>
          <t>Copper risers showing corrosion</t>
        </is>
      </c>
      <c r="O7" s="19">
        <f>2026+G7</f>
        <v/>
      </c>
      <c r="P7" s="21">
        <f>ROUND(I7*(1+J7)^G7,2)</f>
        <v/>
      </c>
    </row>
    <row r="8">
      <c r="A8" s="12" t="inlineStr">
        <is>
          <t>RC-007</t>
        </is>
      </c>
      <c r="B8" s="13" t="inlineStr">
        <is>
          <t>Corridor flooring</t>
        </is>
      </c>
      <c r="C8" s="13" t="inlineStr">
        <is>
          <t>Interior finishes</t>
        </is>
      </c>
      <c r="D8" s="12" t="inlineStr">
        <is>
          <t>Toronto</t>
        </is>
      </c>
      <c r="E8" s="14" t="n">
        <v>43855</v>
      </c>
      <c r="F8" s="15" t="inlineStr">
        <is>
          <t>Good</t>
        </is>
      </c>
      <c r="G8" s="15" t="n">
        <v>9</v>
      </c>
      <c r="H8" s="15" t="n">
        <v>12</v>
      </c>
      <c r="I8" s="16" t="n">
        <v>78000</v>
      </c>
      <c r="J8" s="17" t="n">
        <v>0.03</v>
      </c>
      <c r="K8" s="15" t="inlineStr">
        <is>
          <t>Yes</t>
        </is>
      </c>
      <c r="L8" s="13" t="inlineStr">
        <is>
          <t>Ethan Singh</t>
        </is>
      </c>
      <c r="M8" s="15" t="inlineStr">
        <is>
          <t>Low</t>
        </is>
      </c>
      <c r="N8" s="13" t="inlineStr">
        <is>
          <t>Carpet tile replacement</t>
        </is>
      </c>
      <c r="O8" s="12">
        <f>2026+G8</f>
        <v/>
      </c>
      <c r="P8" s="18">
        <f>ROUND(I8*(1+J8)^G8,2)</f>
        <v/>
      </c>
    </row>
    <row r="9">
      <c r="A9" s="19" t="inlineStr">
        <is>
          <t>RC-008</t>
        </is>
      </c>
      <c r="B9" s="20" t="inlineStr">
        <is>
          <t>Fire alarm system</t>
        </is>
      </c>
      <c r="C9" s="20" t="inlineStr">
        <is>
          <t>Life safety</t>
        </is>
      </c>
      <c r="D9" s="19" t="inlineStr">
        <is>
          <t>Toronto</t>
        </is>
      </c>
      <c r="E9" s="14" t="n">
        <v>43069</v>
      </c>
      <c r="F9" s="15" t="inlineStr">
        <is>
          <t>Fair</t>
        </is>
      </c>
      <c r="G9" s="15" t="n">
        <v>6</v>
      </c>
      <c r="H9" s="15" t="n">
        <v>20</v>
      </c>
      <c r="I9" s="16" t="n">
        <v>135000</v>
      </c>
      <c r="J9" s="17" t="n">
        <v>0.03</v>
      </c>
      <c r="K9" s="15" t="inlineStr">
        <is>
          <t>No</t>
        </is>
      </c>
      <c r="L9" s="20" t="inlineStr">
        <is>
          <t>Charlotte Nguyen</t>
        </is>
      </c>
      <c r="M9" s="15" t="inlineStr">
        <is>
          <t>High</t>
        </is>
      </c>
      <c r="N9" s="20" t="inlineStr">
        <is>
          <t>Panel and device upgrade</t>
        </is>
      </c>
      <c r="O9" s="19">
        <f>2026+G9</f>
        <v/>
      </c>
      <c r="P9" s="21">
        <f>ROUND(I9*(1+J9)^G9,2)</f>
        <v/>
      </c>
    </row>
    <row r="10">
      <c r="A10" s="12" t="inlineStr">
        <is>
          <t>RC-009</t>
        </is>
      </c>
      <c r="B10" s="13" t="inlineStr">
        <is>
          <t>Domestic hot-water tanks</t>
        </is>
      </c>
      <c r="C10" s="13" t="inlineStr">
        <is>
          <t>Mechanical</t>
        </is>
      </c>
      <c r="D10" s="12" t="inlineStr">
        <is>
          <t>Toronto</t>
        </is>
      </c>
      <c r="E10" s="14" t="n">
        <v>44669</v>
      </c>
      <c r="F10" s="15" t="inlineStr">
        <is>
          <t>Good</t>
        </is>
      </c>
      <c r="G10" s="15" t="n">
        <v>10</v>
      </c>
      <c r="H10" s="15" t="n">
        <v>15</v>
      </c>
      <c r="I10" s="16" t="n">
        <v>68000</v>
      </c>
      <c r="J10" s="17" t="n">
        <v>0.03</v>
      </c>
      <c r="K10" s="15" t="inlineStr">
        <is>
          <t>Yes</t>
        </is>
      </c>
      <c r="L10" s="13" t="inlineStr">
        <is>
          <t>William MacDonald</t>
        </is>
      </c>
      <c r="M10" s="15" t="inlineStr">
        <is>
          <t>Medium</t>
        </is>
      </c>
      <c r="N10" s="13" t="inlineStr">
        <is>
          <t>Storage tanks, 3 units</t>
        </is>
      </c>
      <c r="O10" s="12">
        <f>2026+G10</f>
        <v/>
      </c>
      <c r="P10" s="18">
        <f>ROUND(I10*(1+J10)^G10,2)</f>
        <v/>
      </c>
    </row>
    <row r="11">
      <c r="B11" s="22" t="inlineStr">
        <is>
          <t>Total current replacement cost</t>
        </is>
      </c>
      <c r="I11" s="23">
        <f>SUM(I2:I10)</f>
        <v/>
      </c>
      <c r="P11" s="23">
        <f>SUM(P2:P10)</f>
        <v/>
      </c>
    </row>
  </sheetData>
  <conditionalFormatting sqref="M2:M10">
    <cfRule type="expression" priority="1" dxfId="0" stopIfTrue="1">
      <formula>$M2="Critical"</formula>
    </cfRule>
  </conditionalFormatting>
  <conditionalFormatting sqref="F2:F10">
    <cfRule type="expression" priority="2" dxfId="0" stopIfTrue="1">
      <formula>OR($F2="Poor",$F2="Critical")</formula>
    </cfRule>
  </conditionalFormatting>
  <dataValidations count="4">
    <dataValidation sqref="F2:F50" showErrorMessage="1" showInputMessage="1" allowBlank="1" type="list">
      <formula1>"Excellent,Good,Fair,Poor,Critical"</formula1>
    </dataValidation>
    <dataValidation sqref="M2:M50" showErrorMessage="1" showInputMessage="1" allowBlank="1" type="list">
      <formula1>"Critical,High,Medium,Low"</formula1>
    </dataValidation>
    <dataValidation sqref="C2:C50" showErrorMessage="1" showInputMessage="1" allowBlank="1" type="list">
      <formula1>"Building envelope,Mechanical,Electrical,Plumbing,Parking,Life safety,Interior finishes,Vertical transportation,Site"</formula1>
    </dataValidation>
    <dataValidation sqref="K2:K50" showErrorMessage="1" showInputMessage="1" allowBlank="1" type="list">
      <formula1>"Yes,No"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38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20" customWidth="1" min="2" max="2"/>
    <col width="18" customWidth="1" min="3" max="3"/>
    <col width="14" customWidth="1" min="4" max="4"/>
    <col width="16" customWidth="1" min="5" max="5"/>
    <col width="22" customWidth="1" min="6" max="6"/>
    <col width="16" customWidth="1" min="7" max="7"/>
    <col width="20" customWidth="1" min="8" max="8"/>
    <col width="20" customWidth="1" min="9" max="9"/>
    <col width="14" customWidth="1" min="10" max="10"/>
    <col width="20" customWidth="1" min="11" max="11"/>
  </cols>
  <sheetData>
    <row r="1">
      <c r="A1" s="11" t="inlineStr">
        <is>
          <t>Year</t>
        </is>
      </c>
      <c r="B1" s="11" t="inlineStr">
        <is>
          <t>Opening Reserve Balance</t>
        </is>
      </c>
      <c r="C1" s="11" t="inlineStr">
        <is>
          <t>Planned Contributions</t>
        </is>
      </c>
      <c r="D1" s="11" t="inlineStr">
        <is>
          <t>Contribution Increase (%)</t>
        </is>
      </c>
      <c r="E1" s="11" t="inlineStr">
        <is>
          <t>Investment Income</t>
        </is>
      </c>
      <c r="F1" s="11" t="inlineStr">
        <is>
          <t>Component Capital Expenditures</t>
        </is>
      </c>
      <c r="G1" s="11" t="inlineStr">
        <is>
          <t>Contingency Reserve</t>
        </is>
      </c>
      <c r="H1" s="11" t="inlineStr">
        <is>
          <t>Ending Reserve Balance</t>
        </is>
      </c>
      <c r="I1" s="11" t="inlineStr">
        <is>
          <t>Required Annual Contribution</t>
        </is>
      </c>
      <c r="J1" s="11" t="inlineStr">
        <is>
          <t>Minimum Balance Alert</t>
        </is>
      </c>
      <c r="K1" s="11" t="inlineStr">
        <is>
          <t>Contribution per Unit (Annual)</t>
        </is>
      </c>
    </row>
    <row r="2">
      <c r="A2" s="12" t="n">
        <v>2026</v>
      </c>
      <c r="B2" s="18">
        <f>Instructions!B23</f>
        <v/>
      </c>
      <c r="C2" s="9" t="n">
        <v>155000</v>
      </c>
      <c r="D2" s="10" t="n">
        <v>0.03</v>
      </c>
      <c r="E2" s="18">
        <f>ROUND(B2*0.04,2)</f>
        <v/>
      </c>
      <c r="F2" s="18">
        <f>IFERROR(SUMIF(Components!$O$2:$O$10,A2,Components!$P$2:$P$10),0)</f>
        <v/>
      </c>
      <c r="G2" s="18">
        <f>ROUND(F2*Instructions!$B$26,2)</f>
        <v/>
      </c>
      <c r="H2" s="18">
        <f>B2+C2+E2-F2-G2</f>
        <v/>
      </c>
      <c r="I2" s="18">
        <f>IF(H2&lt;0,ROUND(ABS(H2)+C2,2),C2)</f>
        <v/>
      </c>
      <c r="J2" s="12">
        <f>IF(H2&lt;0,"Deficit","Adequate")</f>
        <v/>
      </c>
      <c r="K2" s="18">
        <f>ROUND(I2/100,2)</f>
        <v/>
      </c>
    </row>
    <row r="3">
      <c r="A3" s="19" t="n">
        <v>2027</v>
      </c>
      <c r="B3" s="21">
        <f>H2</f>
        <v/>
      </c>
      <c r="C3" s="21">
        <f>ROUND(C2*(1+D3),2)</f>
        <v/>
      </c>
      <c r="D3" s="10" t="n">
        <v>0.03</v>
      </c>
      <c r="E3" s="21">
        <f>ROUND(B3*0.04,2)</f>
        <v/>
      </c>
      <c r="F3" s="21">
        <f>IFERROR(SUMIF(Components!$O$2:$O$10,A3,Components!$P$2:$P$10),0)</f>
        <v/>
      </c>
      <c r="G3" s="21">
        <f>ROUND(F3*Instructions!$B$26,2)</f>
        <v/>
      </c>
      <c r="H3" s="21">
        <f>B3+C3+E3-F3-G3</f>
        <v/>
      </c>
      <c r="I3" s="21">
        <f>IF(H3&lt;0,ROUND(ABS(H3)+C3,2),C3)</f>
        <v/>
      </c>
      <c r="J3" s="19">
        <f>IF(H3&lt;0,"Deficit","Adequate")</f>
        <v/>
      </c>
      <c r="K3" s="21">
        <f>ROUND(I3/100,2)</f>
        <v/>
      </c>
    </row>
    <row r="4">
      <c r="A4" s="12" t="n">
        <v>2028</v>
      </c>
      <c r="B4" s="18">
        <f>H3</f>
        <v/>
      </c>
      <c r="C4" s="21">
        <f>ROUND(C3*(1+D4),2)</f>
        <v/>
      </c>
      <c r="D4" s="10" t="n">
        <v>0.03</v>
      </c>
      <c r="E4" s="18">
        <f>ROUND(B4*0.04,2)</f>
        <v/>
      </c>
      <c r="F4" s="18">
        <f>IFERROR(SUMIF(Components!$O$2:$O$10,A4,Components!$P$2:$P$10),0)</f>
        <v/>
      </c>
      <c r="G4" s="18">
        <f>ROUND(F4*Instructions!$B$26,2)</f>
        <v/>
      </c>
      <c r="H4" s="18">
        <f>B4+C4+E4-F4-G4</f>
        <v/>
      </c>
      <c r="I4" s="18">
        <f>IF(H4&lt;0,ROUND(ABS(H4)+C4,2),C4)</f>
        <v/>
      </c>
      <c r="J4" s="12">
        <f>IF(H4&lt;0,"Deficit","Adequate")</f>
        <v/>
      </c>
      <c r="K4" s="18">
        <f>ROUND(I4/100,2)</f>
        <v/>
      </c>
    </row>
    <row r="5">
      <c r="A5" s="19" t="n">
        <v>2029</v>
      </c>
      <c r="B5" s="21">
        <f>H4</f>
        <v/>
      </c>
      <c r="C5" s="21">
        <f>ROUND(C4*(1+D5),2)</f>
        <v/>
      </c>
      <c r="D5" s="10" t="n">
        <v>0.03</v>
      </c>
      <c r="E5" s="21">
        <f>ROUND(B5*0.04,2)</f>
        <v/>
      </c>
      <c r="F5" s="21">
        <f>IFERROR(SUMIF(Components!$O$2:$O$10,A5,Components!$P$2:$P$10),0)</f>
        <v/>
      </c>
      <c r="G5" s="21">
        <f>ROUND(F5*Instructions!$B$26,2)</f>
        <v/>
      </c>
      <c r="H5" s="21">
        <f>B5+C5+E5-F5-G5</f>
        <v/>
      </c>
      <c r="I5" s="21">
        <f>IF(H5&lt;0,ROUND(ABS(H5)+C5,2),C5)</f>
        <v/>
      </c>
      <c r="J5" s="19">
        <f>IF(H5&lt;0,"Deficit","Adequate")</f>
        <v/>
      </c>
      <c r="K5" s="21">
        <f>ROUND(I5/100,2)</f>
        <v/>
      </c>
    </row>
    <row r="6">
      <c r="A6" s="12" t="n">
        <v>2030</v>
      </c>
      <c r="B6" s="18">
        <f>H5</f>
        <v/>
      </c>
      <c r="C6" s="21">
        <f>ROUND(C5*(1+D6),2)</f>
        <v/>
      </c>
      <c r="D6" s="10" t="n">
        <v>0.03</v>
      </c>
      <c r="E6" s="18">
        <f>ROUND(B6*0.04,2)</f>
        <v/>
      </c>
      <c r="F6" s="18">
        <f>IFERROR(SUMIF(Components!$O$2:$O$10,A6,Components!$P$2:$P$10),0)</f>
        <v/>
      </c>
      <c r="G6" s="18">
        <f>ROUND(F6*Instructions!$B$26,2)</f>
        <v/>
      </c>
      <c r="H6" s="18">
        <f>B6+C6+E6-F6-G6</f>
        <v/>
      </c>
      <c r="I6" s="18">
        <f>IF(H6&lt;0,ROUND(ABS(H6)+C6,2),C6)</f>
        <v/>
      </c>
      <c r="J6" s="12">
        <f>IF(H6&lt;0,"Deficit","Adequate")</f>
        <v/>
      </c>
      <c r="K6" s="18">
        <f>ROUND(I6/100,2)</f>
        <v/>
      </c>
    </row>
    <row r="7">
      <c r="A7" s="19" t="n">
        <v>2031</v>
      </c>
      <c r="B7" s="21">
        <f>H6</f>
        <v/>
      </c>
      <c r="C7" s="21">
        <f>ROUND(C6*(1+D7),2)</f>
        <v/>
      </c>
      <c r="D7" s="10" t="n">
        <v>0.03</v>
      </c>
      <c r="E7" s="21">
        <f>ROUND(B7*0.04,2)</f>
        <v/>
      </c>
      <c r="F7" s="21">
        <f>IFERROR(SUMIF(Components!$O$2:$O$10,A7,Components!$P$2:$P$10),0)</f>
        <v/>
      </c>
      <c r="G7" s="21">
        <f>ROUND(F7*Instructions!$B$26,2)</f>
        <v/>
      </c>
      <c r="H7" s="21">
        <f>B7+C7+E7-F7-G7</f>
        <v/>
      </c>
      <c r="I7" s="21">
        <f>IF(H7&lt;0,ROUND(ABS(H7)+C7,2),C7)</f>
        <v/>
      </c>
      <c r="J7" s="19">
        <f>IF(H7&lt;0,"Deficit","Adequate")</f>
        <v/>
      </c>
      <c r="K7" s="21">
        <f>ROUND(I7/100,2)</f>
        <v/>
      </c>
    </row>
    <row r="8">
      <c r="A8" s="12" t="n">
        <v>2032</v>
      </c>
      <c r="B8" s="18">
        <f>H7</f>
        <v/>
      </c>
      <c r="C8" s="21">
        <f>ROUND(C7*(1+D8),2)</f>
        <v/>
      </c>
      <c r="D8" s="10" t="n">
        <v>0.03</v>
      </c>
      <c r="E8" s="18">
        <f>ROUND(B8*0.04,2)</f>
        <v/>
      </c>
      <c r="F8" s="18">
        <f>IFERROR(SUMIF(Components!$O$2:$O$10,A8,Components!$P$2:$P$10),0)</f>
        <v/>
      </c>
      <c r="G8" s="18">
        <f>ROUND(F8*Instructions!$B$26,2)</f>
        <v/>
      </c>
      <c r="H8" s="18">
        <f>B8+C8+E8-F8-G8</f>
        <v/>
      </c>
      <c r="I8" s="18">
        <f>IF(H8&lt;0,ROUND(ABS(H8)+C8,2),C8)</f>
        <v/>
      </c>
      <c r="J8" s="12">
        <f>IF(H8&lt;0,"Deficit","Adequate")</f>
        <v/>
      </c>
      <c r="K8" s="18">
        <f>ROUND(I8/100,2)</f>
        <v/>
      </c>
    </row>
    <row r="9">
      <c r="A9" s="19" t="n">
        <v>2033</v>
      </c>
      <c r="B9" s="21">
        <f>H8</f>
        <v/>
      </c>
      <c r="C9" s="21">
        <f>ROUND(C8*(1+D9),2)</f>
        <v/>
      </c>
      <c r="D9" s="10" t="n">
        <v>0.03</v>
      </c>
      <c r="E9" s="21">
        <f>ROUND(B9*0.04,2)</f>
        <v/>
      </c>
      <c r="F9" s="21">
        <f>IFERROR(SUMIF(Components!$O$2:$O$10,A9,Components!$P$2:$P$10),0)</f>
        <v/>
      </c>
      <c r="G9" s="21">
        <f>ROUND(F9*Instructions!$B$26,2)</f>
        <v/>
      </c>
      <c r="H9" s="21">
        <f>B9+C9+E9-F9-G9</f>
        <v/>
      </c>
      <c r="I9" s="21">
        <f>IF(H9&lt;0,ROUND(ABS(H9)+C9,2),C9)</f>
        <v/>
      </c>
      <c r="J9" s="19">
        <f>IF(H9&lt;0,"Deficit","Adequate")</f>
        <v/>
      </c>
      <c r="K9" s="21">
        <f>ROUND(I9/100,2)</f>
        <v/>
      </c>
    </row>
    <row r="10">
      <c r="A10" s="12" t="n">
        <v>2034</v>
      </c>
      <c r="B10" s="18">
        <f>H9</f>
        <v/>
      </c>
      <c r="C10" s="21">
        <f>ROUND(C9*(1+D10),2)</f>
        <v/>
      </c>
      <c r="D10" s="10" t="n">
        <v>0.03</v>
      </c>
      <c r="E10" s="18">
        <f>ROUND(B10*0.04,2)</f>
        <v/>
      </c>
      <c r="F10" s="18">
        <f>IFERROR(SUMIF(Components!$O$2:$O$10,A10,Components!$P$2:$P$10),0)</f>
        <v/>
      </c>
      <c r="G10" s="18">
        <f>ROUND(F10*Instructions!$B$26,2)</f>
        <v/>
      </c>
      <c r="H10" s="18">
        <f>B10+C10+E10-F10-G10</f>
        <v/>
      </c>
      <c r="I10" s="18">
        <f>IF(H10&lt;0,ROUND(ABS(H10)+C10,2),C10)</f>
        <v/>
      </c>
      <c r="J10" s="12">
        <f>IF(H10&lt;0,"Deficit","Adequate")</f>
        <v/>
      </c>
      <c r="K10" s="18">
        <f>ROUND(I10/100,2)</f>
        <v/>
      </c>
    </row>
    <row r="11">
      <c r="A11" s="19" t="n">
        <v>2035</v>
      </c>
      <c r="B11" s="21">
        <f>H10</f>
        <v/>
      </c>
      <c r="C11" s="21">
        <f>ROUND(C10*(1+D11),2)</f>
        <v/>
      </c>
      <c r="D11" s="10" t="n">
        <v>0.03</v>
      </c>
      <c r="E11" s="21">
        <f>ROUND(B11*0.04,2)</f>
        <v/>
      </c>
      <c r="F11" s="21">
        <f>IFERROR(SUMIF(Components!$O$2:$O$10,A11,Components!$P$2:$P$10),0)</f>
        <v/>
      </c>
      <c r="G11" s="21">
        <f>ROUND(F11*Instructions!$B$26,2)</f>
        <v/>
      </c>
      <c r="H11" s="21">
        <f>B11+C11+E11-F11-G11</f>
        <v/>
      </c>
      <c r="I11" s="21">
        <f>IF(H11&lt;0,ROUND(ABS(H11)+C11,2),C11)</f>
        <v/>
      </c>
      <c r="J11" s="19">
        <f>IF(H11&lt;0,"Deficit","Adequate")</f>
        <v/>
      </c>
      <c r="K11" s="21">
        <f>ROUND(I11/100,2)</f>
        <v/>
      </c>
    </row>
    <row r="12">
      <c r="A12" s="12" t="n">
        <v>2036</v>
      </c>
      <c r="B12" s="18">
        <f>H11</f>
        <v/>
      </c>
      <c r="C12" s="21">
        <f>ROUND(C11*(1+D12),2)</f>
        <v/>
      </c>
      <c r="D12" s="10" t="n">
        <v>0.03</v>
      </c>
      <c r="E12" s="18">
        <f>ROUND(B12*0.04,2)</f>
        <v/>
      </c>
      <c r="F12" s="18">
        <f>IFERROR(SUMIF(Components!$O$2:$O$10,A12,Components!$P$2:$P$10),0)</f>
        <v/>
      </c>
      <c r="G12" s="18">
        <f>ROUND(F12*Instructions!$B$26,2)</f>
        <v/>
      </c>
      <c r="H12" s="18">
        <f>B12+C12+E12-F12-G12</f>
        <v/>
      </c>
      <c r="I12" s="18">
        <f>IF(H12&lt;0,ROUND(ABS(H12)+C12,2),C12)</f>
        <v/>
      </c>
      <c r="J12" s="12">
        <f>IF(H12&lt;0,"Deficit","Adequate")</f>
        <v/>
      </c>
      <c r="K12" s="18">
        <f>ROUND(I12/100,2)</f>
        <v/>
      </c>
    </row>
    <row r="13">
      <c r="A13" s="19" t="n">
        <v>2037</v>
      </c>
      <c r="B13" s="21">
        <f>H12</f>
        <v/>
      </c>
      <c r="C13" s="21">
        <f>ROUND(C12*(1+D13),2)</f>
        <v/>
      </c>
      <c r="D13" s="10" t="n">
        <v>0.03</v>
      </c>
      <c r="E13" s="21">
        <f>ROUND(B13*0.04,2)</f>
        <v/>
      </c>
      <c r="F13" s="21">
        <f>IFERROR(SUMIF(Components!$O$2:$O$10,A13,Components!$P$2:$P$10),0)</f>
        <v/>
      </c>
      <c r="G13" s="21">
        <f>ROUND(F13*Instructions!$B$26,2)</f>
        <v/>
      </c>
      <c r="H13" s="21">
        <f>B13+C13+E13-F13-G13</f>
        <v/>
      </c>
      <c r="I13" s="21">
        <f>IF(H13&lt;0,ROUND(ABS(H13)+C13,2),C13)</f>
        <v/>
      </c>
      <c r="J13" s="19">
        <f>IF(H13&lt;0,"Deficit","Adequate")</f>
        <v/>
      </c>
      <c r="K13" s="21">
        <f>ROUND(I13/100,2)</f>
        <v/>
      </c>
    </row>
    <row r="14">
      <c r="A14" s="12" t="n">
        <v>2038</v>
      </c>
      <c r="B14" s="18">
        <f>H13</f>
        <v/>
      </c>
      <c r="C14" s="21">
        <f>ROUND(C13*(1+D14),2)</f>
        <v/>
      </c>
      <c r="D14" s="10" t="n">
        <v>0.03</v>
      </c>
      <c r="E14" s="18">
        <f>ROUND(B14*0.04,2)</f>
        <v/>
      </c>
      <c r="F14" s="18">
        <f>IFERROR(SUMIF(Components!$O$2:$O$10,A14,Components!$P$2:$P$10),0)</f>
        <v/>
      </c>
      <c r="G14" s="18">
        <f>ROUND(F14*Instructions!$B$26,2)</f>
        <v/>
      </c>
      <c r="H14" s="18">
        <f>B14+C14+E14-F14-G14</f>
        <v/>
      </c>
      <c r="I14" s="18">
        <f>IF(H14&lt;0,ROUND(ABS(H14)+C14,2),C14)</f>
        <v/>
      </c>
      <c r="J14" s="12">
        <f>IF(H14&lt;0,"Deficit","Adequate")</f>
        <v/>
      </c>
      <c r="K14" s="18">
        <f>ROUND(I14/100,2)</f>
        <v/>
      </c>
    </row>
    <row r="15">
      <c r="A15" s="19" t="n">
        <v>2039</v>
      </c>
      <c r="B15" s="21">
        <f>H14</f>
        <v/>
      </c>
      <c r="C15" s="21">
        <f>ROUND(C14*(1+D15),2)</f>
        <v/>
      </c>
      <c r="D15" s="10" t="n">
        <v>0.03</v>
      </c>
      <c r="E15" s="21">
        <f>ROUND(B15*0.04,2)</f>
        <v/>
      </c>
      <c r="F15" s="21">
        <f>IFERROR(SUMIF(Components!$O$2:$O$10,A15,Components!$P$2:$P$10),0)</f>
        <v/>
      </c>
      <c r="G15" s="21">
        <f>ROUND(F15*Instructions!$B$26,2)</f>
        <v/>
      </c>
      <c r="H15" s="21">
        <f>B15+C15+E15-F15-G15</f>
        <v/>
      </c>
      <c r="I15" s="21">
        <f>IF(H15&lt;0,ROUND(ABS(H15)+C15,2),C15)</f>
        <v/>
      </c>
      <c r="J15" s="19">
        <f>IF(H15&lt;0,"Deficit","Adequate")</f>
        <v/>
      </c>
      <c r="K15" s="21">
        <f>ROUND(I15/100,2)</f>
        <v/>
      </c>
    </row>
    <row r="16">
      <c r="A16" s="12" t="n">
        <v>2040</v>
      </c>
      <c r="B16" s="18">
        <f>H15</f>
        <v/>
      </c>
      <c r="C16" s="21">
        <f>ROUND(C15*(1+D16),2)</f>
        <v/>
      </c>
      <c r="D16" s="10" t="n">
        <v>0.03</v>
      </c>
      <c r="E16" s="18">
        <f>ROUND(B16*0.04,2)</f>
        <v/>
      </c>
      <c r="F16" s="18">
        <f>IFERROR(SUMIF(Components!$O$2:$O$10,A16,Components!$P$2:$P$10),0)</f>
        <v/>
      </c>
      <c r="G16" s="18">
        <f>ROUND(F16*Instructions!$B$26,2)</f>
        <v/>
      </c>
      <c r="H16" s="18">
        <f>B16+C16+E16-F16-G16</f>
        <v/>
      </c>
      <c r="I16" s="18">
        <f>IF(H16&lt;0,ROUND(ABS(H16)+C16,2),C16)</f>
        <v/>
      </c>
      <c r="J16" s="12">
        <f>IF(H16&lt;0,"Deficit","Adequate")</f>
        <v/>
      </c>
      <c r="K16" s="18">
        <f>ROUND(I16/100,2)</f>
        <v/>
      </c>
    </row>
    <row r="17">
      <c r="A17" s="19" t="n">
        <v>2041</v>
      </c>
      <c r="B17" s="21">
        <f>H16</f>
        <v/>
      </c>
      <c r="C17" s="21">
        <f>ROUND(C16*(1+D17),2)</f>
        <v/>
      </c>
      <c r="D17" s="10" t="n">
        <v>0.03</v>
      </c>
      <c r="E17" s="21">
        <f>ROUND(B17*0.04,2)</f>
        <v/>
      </c>
      <c r="F17" s="21">
        <f>IFERROR(SUMIF(Components!$O$2:$O$10,A17,Components!$P$2:$P$10),0)</f>
        <v/>
      </c>
      <c r="G17" s="21">
        <f>ROUND(F17*Instructions!$B$26,2)</f>
        <v/>
      </c>
      <c r="H17" s="21">
        <f>B17+C17+E17-F17-G17</f>
        <v/>
      </c>
      <c r="I17" s="21">
        <f>IF(H17&lt;0,ROUND(ABS(H17)+C17,2),C17)</f>
        <v/>
      </c>
      <c r="J17" s="19">
        <f>IF(H17&lt;0,"Deficit","Adequate")</f>
        <v/>
      </c>
      <c r="K17" s="21">
        <f>ROUND(I17/100,2)</f>
        <v/>
      </c>
    </row>
    <row r="18">
      <c r="A18" s="12" t="n">
        <v>2042</v>
      </c>
      <c r="B18" s="18">
        <f>H17</f>
        <v/>
      </c>
      <c r="C18" s="21">
        <f>ROUND(C17*(1+D18),2)</f>
        <v/>
      </c>
      <c r="D18" s="10" t="n">
        <v>0.03</v>
      </c>
      <c r="E18" s="18">
        <f>ROUND(B18*0.04,2)</f>
        <v/>
      </c>
      <c r="F18" s="18">
        <f>IFERROR(SUMIF(Components!$O$2:$O$10,A18,Components!$P$2:$P$10),0)</f>
        <v/>
      </c>
      <c r="G18" s="18">
        <f>ROUND(F18*Instructions!$B$26,2)</f>
        <v/>
      </c>
      <c r="H18" s="18">
        <f>B18+C18+E18-F18-G18</f>
        <v/>
      </c>
      <c r="I18" s="18">
        <f>IF(H18&lt;0,ROUND(ABS(H18)+C18,2),C18)</f>
        <v/>
      </c>
      <c r="J18" s="12">
        <f>IF(H18&lt;0,"Deficit","Adequate")</f>
        <v/>
      </c>
      <c r="K18" s="18">
        <f>ROUND(I18/100,2)</f>
        <v/>
      </c>
    </row>
    <row r="19">
      <c r="A19" s="19" t="n">
        <v>2043</v>
      </c>
      <c r="B19" s="21">
        <f>H18</f>
        <v/>
      </c>
      <c r="C19" s="21">
        <f>ROUND(C18*(1+D19),2)</f>
        <v/>
      </c>
      <c r="D19" s="10" t="n">
        <v>0.03</v>
      </c>
      <c r="E19" s="21">
        <f>ROUND(B19*0.04,2)</f>
        <v/>
      </c>
      <c r="F19" s="21">
        <f>IFERROR(SUMIF(Components!$O$2:$O$10,A19,Components!$P$2:$P$10),0)</f>
        <v/>
      </c>
      <c r="G19" s="21">
        <f>ROUND(F19*Instructions!$B$26,2)</f>
        <v/>
      </c>
      <c r="H19" s="21">
        <f>B19+C19+E19-F19-G19</f>
        <v/>
      </c>
      <c r="I19" s="21">
        <f>IF(H19&lt;0,ROUND(ABS(H19)+C19,2),C19)</f>
        <v/>
      </c>
      <c r="J19" s="19">
        <f>IF(H19&lt;0,"Deficit","Adequate")</f>
        <v/>
      </c>
      <c r="K19" s="21">
        <f>ROUND(I19/100,2)</f>
        <v/>
      </c>
    </row>
    <row r="20">
      <c r="A20" s="12" t="n">
        <v>2044</v>
      </c>
      <c r="B20" s="18">
        <f>H19</f>
        <v/>
      </c>
      <c r="C20" s="21">
        <f>ROUND(C19*(1+D20),2)</f>
        <v/>
      </c>
      <c r="D20" s="10" t="n">
        <v>0.03</v>
      </c>
      <c r="E20" s="18">
        <f>ROUND(B20*0.04,2)</f>
        <v/>
      </c>
      <c r="F20" s="18">
        <f>IFERROR(SUMIF(Components!$O$2:$O$10,A20,Components!$P$2:$P$10),0)</f>
        <v/>
      </c>
      <c r="G20" s="18">
        <f>ROUND(F20*Instructions!$B$26,2)</f>
        <v/>
      </c>
      <c r="H20" s="18">
        <f>B20+C20+E20-F20-G20</f>
        <v/>
      </c>
      <c r="I20" s="18">
        <f>IF(H20&lt;0,ROUND(ABS(H20)+C20,2),C20)</f>
        <v/>
      </c>
      <c r="J20" s="12">
        <f>IF(H20&lt;0,"Deficit","Adequate")</f>
        <v/>
      </c>
      <c r="K20" s="18">
        <f>ROUND(I20/100,2)</f>
        <v/>
      </c>
    </row>
    <row r="21">
      <c r="A21" s="19" t="n">
        <v>2045</v>
      </c>
      <c r="B21" s="21">
        <f>H20</f>
        <v/>
      </c>
      <c r="C21" s="21">
        <f>ROUND(C20*(1+D21),2)</f>
        <v/>
      </c>
      <c r="D21" s="10" t="n">
        <v>0.03</v>
      </c>
      <c r="E21" s="21">
        <f>ROUND(B21*0.04,2)</f>
        <v/>
      </c>
      <c r="F21" s="21">
        <f>IFERROR(SUMIF(Components!$O$2:$O$10,A21,Components!$P$2:$P$10),0)</f>
        <v/>
      </c>
      <c r="G21" s="21">
        <f>ROUND(F21*Instructions!$B$26,2)</f>
        <v/>
      </c>
      <c r="H21" s="21">
        <f>B21+C21+E21-F21-G21</f>
        <v/>
      </c>
      <c r="I21" s="21">
        <f>IF(H21&lt;0,ROUND(ABS(H21)+C21,2),C21)</f>
        <v/>
      </c>
      <c r="J21" s="19">
        <f>IF(H21&lt;0,"Deficit","Adequate")</f>
        <v/>
      </c>
      <c r="K21" s="21">
        <f>ROUND(I21/100,2)</f>
        <v/>
      </c>
    </row>
    <row r="24">
      <c r="A24" s="5" t="inlineStr">
        <is>
          <t>Component Lookup</t>
        </is>
      </c>
      <c r="B24" s="3" t="n"/>
      <c r="C24" s="3" t="n"/>
      <c r="D24" s="3" t="n"/>
    </row>
    <row r="25">
      <c r="A25" s="6" t="inlineStr">
        <is>
          <t>Select Component ID</t>
        </is>
      </c>
      <c r="B25" s="15" t="inlineStr">
        <is>
          <t>RC-004</t>
        </is>
      </c>
      <c r="C25" s="24">
        <f>IFERROR(VLOOKUP($B$25,Components!$A$2:$P$10,2,FALSE),"")</f>
        <v/>
      </c>
      <c r="D25" s="21">
        <f>IFERROR(VLOOKUP($B$25,Components!$A$2:$P$10,16,FALSE),0)</f>
        <v/>
      </c>
    </row>
    <row r="28">
      <c r="A28" s="5" t="inlineStr">
        <is>
          <t>Component Timing Table</t>
        </is>
      </c>
      <c r="B28" s="3" t="n"/>
      <c r="C28" s="3" t="n"/>
      <c r="D28" s="3" t="n"/>
    </row>
    <row r="29">
      <c r="A29" s="11" t="inlineStr">
        <is>
          <t>Component ID</t>
        </is>
      </c>
      <c r="B29" s="11" t="inlineStr">
        <is>
          <t>Building Element</t>
        </is>
      </c>
      <c r="C29" s="11" t="inlineStr">
        <is>
          <t>Projected Renewal Year</t>
        </is>
      </c>
      <c r="D29" s="11" t="inlineStr">
        <is>
          <t>Inflated Replacement Cost (CAD)</t>
        </is>
      </c>
    </row>
    <row r="30">
      <c r="A30" s="24">
        <f>Components!A2</f>
        <v/>
      </c>
      <c r="B30" s="24">
        <f>Components!B2</f>
        <v/>
      </c>
      <c r="C30" s="24">
        <f>Components!O2</f>
        <v/>
      </c>
      <c r="D30" s="21">
        <f>Components!P2</f>
        <v/>
      </c>
    </row>
    <row r="31">
      <c r="A31" s="25">
        <f>Components!A3</f>
        <v/>
      </c>
      <c r="B31" s="25">
        <f>Components!B3</f>
        <v/>
      </c>
      <c r="C31" s="25">
        <f>Components!O3</f>
        <v/>
      </c>
      <c r="D31" s="18">
        <f>Components!P3</f>
        <v/>
      </c>
    </row>
    <row r="32">
      <c r="A32" s="24">
        <f>Components!A4</f>
        <v/>
      </c>
      <c r="B32" s="24">
        <f>Components!B4</f>
        <v/>
      </c>
      <c r="C32" s="24">
        <f>Components!O4</f>
        <v/>
      </c>
      <c r="D32" s="21">
        <f>Components!P4</f>
        <v/>
      </c>
    </row>
    <row r="33">
      <c r="A33" s="25">
        <f>Components!A5</f>
        <v/>
      </c>
      <c r="B33" s="25">
        <f>Components!B5</f>
        <v/>
      </c>
      <c r="C33" s="25">
        <f>Components!O5</f>
        <v/>
      </c>
      <c r="D33" s="18">
        <f>Components!P5</f>
        <v/>
      </c>
    </row>
    <row r="34">
      <c r="A34" s="24">
        <f>Components!A6</f>
        <v/>
      </c>
      <c r="B34" s="24">
        <f>Components!B6</f>
        <v/>
      </c>
      <c r="C34" s="24">
        <f>Components!O6</f>
        <v/>
      </c>
      <c r="D34" s="21">
        <f>Components!P6</f>
        <v/>
      </c>
    </row>
    <row r="35">
      <c r="A35" s="25">
        <f>Components!A7</f>
        <v/>
      </c>
      <c r="B35" s="25">
        <f>Components!B7</f>
        <v/>
      </c>
      <c r="C35" s="25">
        <f>Components!O7</f>
        <v/>
      </c>
      <c r="D35" s="18">
        <f>Components!P7</f>
        <v/>
      </c>
    </row>
    <row r="36">
      <c r="A36" s="24">
        <f>Components!A8</f>
        <v/>
      </c>
      <c r="B36" s="24">
        <f>Components!B8</f>
        <v/>
      </c>
      <c r="C36" s="24">
        <f>Components!O8</f>
        <v/>
      </c>
      <c r="D36" s="21">
        <f>Components!P8</f>
        <v/>
      </c>
    </row>
    <row r="37">
      <c r="A37" s="25">
        <f>Components!A9</f>
        <v/>
      </c>
      <c r="B37" s="25">
        <f>Components!B9</f>
        <v/>
      </c>
      <c r="C37" s="25">
        <f>Components!O9</f>
        <v/>
      </c>
      <c r="D37" s="18">
        <f>Components!P9</f>
        <v/>
      </c>
    </row>
    <row r="38">
      <c r="A38" s="24">
        <f>Components!A10</f>
        <v/>
      </c>
      <c r="B38" s="24">
        <f>Components!B10</f>
        <v/>
      </c>
      <c r="C38" s="24">
        <f>Components!O10</f>
        <v/>
      </c>
      <c r="D38" s="21">
        <f>Components!P10</f>
        <v/>
      </c>
    </row>
  </sheetData>
  <conditionalFormatting sqref="H2:H21">
    <cfRule type="cellIs" priority="1" operator="lessThan" dxfId="0">
      <formula>0</formula>
    </cfRule>
    <cfRule type="cellIs" priority="2" operator="greaterThanOrEqual" dxfId="1">
      <formula>0</formula>
    </cfRule>
  </conditionalFormatting>
  <dataValidations count="1">
    <dataValidation sqref="B25" showErrorMessage="1" showInputMessage="1" allowBlank="1" type="list">
      <formula1>"RC-001,RC-002,RC-003,RC-004,RC-005,RC-006,RC-007,RC-008,RC-009"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22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Reserve Fund Study — Executive Summary</t>
        </is>
      </c>
    </row>
    <row r="3">
      <c r="A3" s="11" t="inlineStr">
        <is>
          <t>Key Metric</t>
        </is>
      </c>
      <c r="B3" s="11" t="inlineStr">
        <is>
          <t>Value</t>
        </is>
      </c>
      <c r="D3" s="26" t="inlineStr">
        <is>
          <t>Category</t>
        </is>
      </c>
      <c r="E3" s="26" t="inlineStr">
        <is>
          <t>Current Replacement Cost</t>
        </is>
      </c>
    </row>
    <row r="4">
      <c r="A4" s="27" t="inlineStr">
        <is>
          <t>Current reserve fund balance</t>
        </is>
      </c>
      <c r="B4" s="18">
        <f>Instructions!B23</f>
        <v/>
      </c>
      <c r="D4" s="25" t="inlineStr">
        <is>
          <t>Building envelope</t>
        </is>
      </c>
      <c r="E4" s="18">
        <f>SUMIF(Components!$C$2:$C$10,D4,Components!$I$2:$I$10)</f>
        <v/>
      </c>
    </row>
    <row r="5">
      <c r="A5" s="6" t="inlineStr">
        <is>
          <t>Total projected capital expenditures (2026-2045)</t>
        </is>
      </c>
      <c r="B5" s="21">
        <f>SUM(Projection!F2:F21)</f>
        <v/>
      </c>
      <c r="D5" s="24" t="inlineStr">
        <is>
          <t>Mechanical</t>
        </is>
      </c>
      <c r="E5" s="21">
        <f>SUMIF(Components!$C$2:$C$10,D5,Components!$I$2:$I$10)</f>
        <v/>
      </c>
    </row>
    <row r="6">
      <c r="A6" s="27" t="inlineStr">
        <is>
          <t>Average annual capital expenditure</t>
        </is>
      </c>
      <c r="B6" s="18">
        <f>AVERAGE(Projection!F2:F21)</f>
        <v/>
      </c>
      <c r="D6" s="25" t="inlineStr">
        <is>
          <t>Parking</t>
        </is>
      </c>
      <c r="E6" s="18">
        <f>SUMIF(Components!$C$2:$C$10,D6,Components!$I$2:$I$10)</f>
        <v/>
      </c>
    </row>
    <row r="7">
      <c r="A7" s="6" t="inlineStr">
        <is>
          <t>Recommended annual reserve contribution (2026)</t>
        </is>
      </c>
      <c r="B7" s="21">
        <f>Projection!I2</f>
        <v/>
      </c>
      <c r="D7" s="24" t="inlineStr">
        <is>
          <t>Vertical transportation</t>
        </is>
      </c>
      <c r="E7" s="21">
        <f>SUMIF(Components!$C$2:$C$10,D7,Components!$I$2:$I$10)</f>
        <v/>
      </c>
    </row>
    <row r="8">
      <c r="A8" s="27" t="inlineStr">
        <is>
          <t>Recommended monthly contribution per unit</t>
        </is>
      </c>
      <c r="B8" s="18">
        <f>ROUND(Projection!K2/12,2)</f>
        <v/>
      </c>
      <c r="D8" s="25" t="inlineStr">
        <is>
          <t>Plumbing</t>
        </is>
      </c>
      <c r="E8" s="18">
        <f>SUMIF(Components!$C$2:$C$10,D8,Components!$I$2:$I$10)</f>
        <v/>
      </c>
    </row>
    <row r="9">
      <c r="A9" s="6" t="inlineStr">
        <is>
          <t>Components rated Poor or Critical</t>
        </is>
      </c>
      <c r="B9" s="28">
        <f>COUNTIF(Components!F2:F10,"Poor")+COUNTIF(Components!M2:M10,"Critical")</f>
        <v/>
      </c>
      <c r="D9" s="24" t="inlineStr">
        <is>
          <t>Interior finishes</t>
        </is>
      </c>
      <c r="E9" s="21">
        <f>SUMIF(Components!$C$2:$C$10,D9,Components!$I$2:$I$10)</f>
        <v/>
      </c>
    </row>
    <row r="10">
      <c r="A10" s="27" t="inlineStr">
        <is>
          <t>Years with a projected deficit</t>
        </is>
      </c>
      <c r="B10" s="29">
        <f>COUNTIF(Projection!J2:J21,"Deficit")</f>
        <v/>
      </c>
      <c r="D10" s="25" t="inlineStr">
        <is>
          <t>Life safety</t>
        </is>
      </c>
      <c r="E10" s="18">
        <f>SUMIF(Components!$C$2:$C$10,D10,Components!$I$2:$I$10)</f>
        <v/>
      </c>
    </row>
    <row r="11">
      <c r="A11" s="6" t="inlineStr">
        <is>
          <t>Funding status</t>
        </is>
      </c>
      <c r="B11" s="24">
        <f>IF(COUNTIF(Projection!J2:J21,"Deficit")&gt;0,"Action Required","Adequately Funded")</f>
        <v/>
      </c>
    </row>
    <row r="12">
      <c r="A12" s="27" t="inlineStr">
        <is>
          <t>Peak expenditure year</t>
        </is>
      </c>
      <c r="B12" s="29">
        <f>IFERROR(INDEX(Projection!A2:A21,MATCH(MAX(Projection!F2:F21),Projection!F2:F21,0)),"")</f>
        <v/>
      </c>
    </row>
    <row r="13">
      <c r="A13" s="6" t="inlineStr">
        <is>
          <t>Selected component (lookup)</t>
        </is>
      </c>
      <c r="B13" s="24">
        <f>IFERROR(VLOOKUP(Projection!B25,Components!A2:P10,2,FALSE),"")</f>
        <v/>
      </c>
    </row>
    <row r="14">
      <c r="A14" s="27" t="inlineStr">
        <is>
          <t>Inflation assumption (% of cost growth)</t>
        </is>
      </c>
      <c r="B14" s="30">
        <f>Instructions!B24</f>
        <v/>
      </c>
    </row>
  </sheetData>
  <mergeCells count="1">
    <mergeCell ref="A1:B1"/>
  </mergeCells>
  <conditionalFormatting sqref="B10:B11">
    <cfRule type="expression" priority="1" dxfId="0" stopIfTrue="1">
      <formula>$B10&gt;0</formula>
    </cfRule>
  </conditionalFormatting>
  <conditionalFormatting sqref="B11">
    <cfRule type="expression" priority="2" dxfId="1" stopIfTrue="1">
      <formula>$B11="Adequately Funded"</formula>
    </cfRule>
    <cfRule type="expression" priority="3" dxfId="0" stopIfTrue="1">
      <formula>$B11="Action Required"</formula>
    </cfRule>
  </conditionalFormatting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2026-08-01T07:39:11Z</dcterms:created>
  <dcterms:modified xmlns:dcterms="http://purl.org/dc/terms/" xmlns:xsi="http://www.w3.org/2001/XMLSchema-instance" xsi:type="dcterms:W3CDTF">2026-08-01T07:39:11Z</dcterms:modified>
</cp:coreProperties>
</file>