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ams &amp; Draw" sheetId="1" state="visible" r:id="rId1"/>
    <sheet xmlns:r="http://schemas.openxmlformats.org/officeDocument/2006/relationships" name="Standing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>
    <definedName name="_xlnm._FilterDatabase" localSheetId="0" hidden="1">'Teams &amp; Draw'!$A$16:$N$24</definedName>
    <definedName name="_xlnm._FilterDatabase" localSheetId="1" hidden="1">'Standings'!$A$3:$N$11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0.0%"/>
    <numFmt numFmtId="166" formatCode="0.0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color rgb="001E293B"/>
      <sz val="11"/>
    </font>
    <font>
      <name val="Calibri"/>
      <b val="1"/>
      <color rgb="0016A34A"/>
      <sz val="11"/>
    </font>
    <font>
      <name val="Calibri"/>
      <b val="1"/>
      <color rgb="00DC2626"/>
      <sz val="11"/>
    </font>
    <font>
      <name val="Calibri"/>
      <b val="1"/>
      <color rgb="00C8102E"/>
      <sz val="13"/>
    </font>
    <font>
      <name val="Calibri"/>
      <b val="1"/>
      <color rgb="001E293B"/>
      <sz val="11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164" fontId="3" fillId="0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6" fillId="0" borderId="0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/>
    </xf>
    <xf numFmtId="1" fontId="3" fillId="4" borderId="1" applyAlignment="1" pivotButton="0" quotePrefix="0" xfId="0">
      <alignment horizontal="center" vertical="center"/>
    </xf>
    <xf numFmtId="1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" fontId="3" fillId="0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center" vertical="center"/>
    </xf>
    <xf numFmtId="1" fontId="7" fillId="3" borderId="1" applyAlignment="1" pivotButton="0" quotePrefix="0" xfId="0">
      <alignment horizontal="center" vertical="center"/>
    </xf>
    <xf numFmtId="166" fontId="7" fillId="3" borderId="1" applyAlignment="1" pivotButton="0" quotePrefix="0" xfId="0">
      <alignment horizontal="center" vertical="center"/>
    </xf>
    <xf numFmtId="164" fontId="7" fillId="3" borderId="1" applyAlignment="1" pivotButton="0" quotePrefix="0" xfId="0">
      <alignment horizontal="center" vertical="center"/>
    </xf>
    <xf numFmtId="0" fontId="7" fillId="0" borderId="0" pivotButton="0" quotePrefix="0" xfId="0"/>
    <xf numFmtId="164" fontId="4" fillId="0" borderId="0" pivotButton="0" quotePrefix="0" xfId="0"/>
    <xf numFmtId="164" fontId="5" fillId="0" borderId="0" pivotButton="0" quotePrefix="0" xfId="0"/>
    <xf numFmtId="0" fontId="3" fillId="0" borderId="0" pivotButton="0" quotePrefix="0" xfId="0"/>
    <xf numFmtId="0" fontId="2" fillId="5" borderId="1" pivotButton="0" quotePrefix="0" xfId="0"/>
    <xf numFmtId="0" fontId="7" fillId="0" borderId="1" applyAlignment="1" pivotButton="0" quotePrefix="0" xfId="0">
      <alignment horizontal="left" vertical="center"/>
    </xf>
    <xf numFmtId="1" fontId="4" fillId="0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left" vertical="center"/>
    </xf>
    <xf numFmtId="1" fontId="4" fillId="3" borderId="1" applyAlignment="1" pivotButton="0" quotePrefix="0" xfId="0">
      <alignment horizontal="center" vertical="center"/>
    </xf>
    <xf numFmtId="1" fontId="5" fillId="0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  <xf numFmtId="166" fontId="4" fillId="0" borderId="1" applyAlignment="1" pivotButton="0" quotePrefix="0" xfId="0">
      <alignment horizontal="center" vertical="center"/>
    </xf>
    <xf numFmtId="165" fontId="4" fillId="3" borderId="1" applyAlignment="1" pivotButton="0" quotePrefix="0" xfId="0">
      <alignment horizontal="center" vertical="center"/>
    </xf>
    <xf numFmtId="0" fontId="0" fillId="2" borderId="1" pivotButton="0" quotePrefix="0" xfId="0"/>
    <xf numFmtId="0" fontId="3" fillId="3" borderId="1" applyAlignment="1" pivotButton="0" quotePrefix="0" xfId="0">
      <alignment horizontal="left" vertical="top" wrapText="1"/>
    </xf>
    <xf numFmtId="0" fontId="0" fillId="3" borderId="1" pivotButton="0" quotePrefix="0" xfId="0"/>
    <xf numFmtId="0" fontId="3" fillId="0" borderId="1" applyAlignment="1" pivotButton="0" quotePrefix="0" xfId="0">
      <alignment horizontal="left" vertical="top" wrapText="1"/>
    </xf>
    <xf numFmtId="0" fontId="0" fillId="0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4">
    <dxf>
      <fill>
        <patternFill patternType="solid">
          <fgColor rgb="00DCFCE7"/>
        </patternFill>
      </fill>
    </dxf>
    <dxf>
      <fill>
        <patternFill patternType="solid">
          <fgColor rgb="00FFFBEB"/>
        </patternFill>
      </fill>
    </dxf>
    <dxf>
      <fill>
        <patternFill patternType="solid">
          <fgColor rgb="00FEE2E2"/>
        </patternFill>
      </fill>
    </dxf>
    <dxf>
      <font>
        <name val="Calibri"/>
        <b val="1"/>
        <color rgb="00DC2626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Points by Team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'Standings'!I3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'Standings'!$C$4:$C$11</f>
            </numRef>
          </cat>
          <val>
            <numRef>
              <f>'Standings'!$I$4:$I$11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Team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Points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Wins and Losses by Team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'Standings'!F3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'Standings'!$C$4:$C$11</f>
            </numRef>
          </cat>
          <val>
            <numRef>
              <f>'Standings'!$F$4:$F$11</f>
            </numRef>
          </val>
        </ser>
        <ser>
          <idx val="1"/>
          <order val="1"/>
          <tx>
            <strRef>
              <f>'Standings'!G3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'Standings'!$C$4:$C$11</f>
            </numRef>
          </cat>
          <val>
            <numRef>
              <f>'Standings'!$G$4:$G$11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Paid vs Outstanding Registration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'Dashboard'!$D$5:$D$6</f>
            </numRef>
          </cat>
          <val>
            <numRef>
              <f>'Dashboard'!$E$5:$E$6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8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27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46</row>
      <rowOff>0</rowOff>
    </from>
    <ext cx="36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16" customWidth="1" min="3" max="3"/>
    <col width="15" customWidth="1" min="4" max="4"/>
    <col width="15" customWidth="1" min="5" max="5"/>
    <col width="15" customWidth="1" min="6" max="6"/>
    <col width="32" customWidth="1" min="7" max="7"/>
    <col width="14" customWidth="1" min="8" max="8"/>
    <col width="9" customWidth="1" min="9" max="9"/>
    <col width="13" customWidth="1" min="10" max="10"/>
    <col width="12" customWidth="1" min="11" max="11"/>
    <col width="28" customWidth="1" min="12" max="12"/>
    <col width="12" customWidth="1" min="13" max="13"/>
    <col width="18" customWidth="1" min="14" max="14"/>
  </cols>
  <sheetData>
    <row r="1" ht="26" customHeight="1">
      <c r="A1" s="1" t="inlineStr">
        <is>
          <t>2026 Canadian Club Bonspiel — Team Registration &amp; Draw Schedule</t>
        </is>
      </c>
    </row>
    <row r="3">
      <c r="A3" s="2" t="inlineStr">
        <is>
          <t>Team ID</t>
        </is>
      </c>
      <c r="B3" s="2" t="inlineStr">
        <is>
          <t>Team Name</t>
        </is>
      </c>
      <c r="C3" s="2" t="inlineStr">
        <is>
          <t>Skip</t>
        </is>
      </c>
      <c r="D3" s="2" t="inlineStr">
        <is>
          <t>Third</t>
        </is>
      </c>
      <c r="E3" s="2" t="inlineStr">
        <is>
          <t>Second</t>
        </is>
      </c>
      <c r="F3" s="2" t="inlineStr">
        <is>
          <t>Lead</t>
        </is>
      </c>
      <c r="G3" s="2" t="inlineStr">
        <is>
          <t>Home Club</t>
        </is>
      </c>
      <c r="H3" s="2" t="inlineStr">
        <is>
          <t>City</t>
        </is>
      </c>
      <c r="I3" s="2" t="inlineStr">
        <is>
          <t>Province</t>
        </is>
      </c>
      <c r="J3" s="2" t="inlineStr">
        <is>
          <t>Entry Fee (CAD)</t>
        </is>
      </c>
      <c r="K3" s="2" t="inlineStr">
        <is>
          <t>Paid?</t>
        </is>
      </c>
      <c r="L3" s="2" t="inlineStr">
        <is>
          <t>Contact Email</t>
        </is>
      </c>
      <c r="M3" s="2" t="inlineStr">
        <is>
          <t>Total Players</t>
        </is>
      </c>
      <c r="N3" s="2" t="inlineStr">
        <is>
          <t>Registration Status</t>
        </is>
      </c>
    </row>
    <row r="4">
      <c r="A4" s="3" t="inlineStr">
        <is>
          <t>T-01</t>
        </is>
      </c>
      <c r="B4" s="4" t="inlineStr">
        <is>
          <t>Maple Leafs Curling Club</t>
        </is>
      </c>
      <c r="C4" s="5" t="inlineStr">
        <is>
          <t>Liam Anderson</t>
        </is>
      </c>
      <c r="D4" s="5" t="inlineStr">
        <is>
          <t>Jacob Roy</t>
        </is>
      </c>
      <c r="E4" s="6" t="inlineStr">
        <is>
          <t>Caleb Price</t>
        </is>
      </c>
      <c r="F4" s="5" t="inlineStr">
        <is>
          <t>Owen Scott</t>
        </is>
      </c>
      <c r="G4" s="5" t="inlineStr">
        <is>
          <t>Toronto Granite Club</t>
        </is>
      </c>
      <c r="H4" s="4" t="inlineStr">
        <is>
          <t>Toronto</t>
        </is>
      </c>
      <c r="I4" s="3" t="inlineStr">
        <is>
          <t>ON</t>
        </is>
      </c>
      <c r="J4" s="7" t="n">
        <v>480</v>
      </c>
      <c r="K4" s="8" t="inlineStr">
        <is>
          <t>Paid</t>
        </is>
      </c>
      <c r="L4" s="5" t="inlineStr">
        <is>
          <t>liam.anderson@example.ca</t>
        </is>
      </c>
      <c r="M4" s="3" t="n">
        <v>4</v>
      </c>
      <c r="N4" s="4">
        <f>IF(K4="Paid","Registered","Awaiting payment")</f>
        <v/>
      </c>
    </row>
    <row r="5">
      <c r="A5" s="9" t="inlineStr">
        <is>
          <t>T-02</t>
        </is>
      </c>
      <c r="B5" s="10" t="inlineStr">
        <is>
          <t>Mount Royal CC</t>
        </is>
      </c>
      <c r="C5" s="5" t="inlineStr">
        <is>
          <t>Emma Tremblay</t>
        </is>
      </c>
      <c r="D5" s="5" t="inlineStr">
        <is>
          <t>Lea Cote</t>
        </is>
      </c>
      <c r="E5" s="6" t="inlineStr">
        <is>
          <t>Chloe Bergeron</t>
        </is>
      </c>
      <c r="F5" s="5" t="inlineStr">
        <is>
          <t>Mia Fortin</t>
        </is>
      </c>
      <c r="G5" s="5" t="inlineStr">
        <is>
          <t>Mount Royal Curling Club</t>
        </is>
      </c>
      <c r="H5" s="10" t="inlineStr">
        <is>
          <t>Montreal</t>
        </is>
      </c>
      <c r="I5" s="9" t="inlineStr">
        <is>
          <t>QC</t>
        </is>
      </c>
      <c r="J5" s="11" t="n">
        <v>480</v>
      </c>
      <c r="K5" s="8" t="inlineStr">
        <is>
          <t>Paid</t>
        </is>
      </c>
      <c r="L5" s="5" t="inlineStr">
        <is>
          <t>emma.tremblay@example.ca</t>
        </is>
      </c>
      <c r="M5" s="9" t="n">
        <v>4</v>
      </c>
      <c r="N5" s="10">
        <f>IF(K5="Paid","Registered","Awaiting payment")</f>
        <v/>
      </c>
    </row>
    <row r="6">
      <c r="A6" s="3" t="inlineStr">
        <is>
          <t>T-03</t>
        </is>
      </c>
      <c r="B6" s="4" t="inlineStr">
        <is>
          <t>Vancouver Curling Centre</t>
        </is>
      </c>
      <c r="C6" s="5" t="inlineStr">
        <is>
          <t>Noah Wilson</t>
        </is>
      </c>
      <c r="D6" s="5" t="inlineStr">
        <is>
          <t>Henry Cole</t>
        </is>
      </c>
      <c r="E6" s="6" t="inlineStr">
        <is>
          <t>Jack Reed</t>
        </is>
      </c>
      <c r="F6" s="5" t="inlineStr">
        <is>
          <t>Ryan Bell</t>
        </is>
      </c>
      <c r="G6" s="5" t="inlineStr">
        <is>
          <t>Vancouver Curling Centre</t>
        </is>
      </c>
      <c r="H6" s="4" t="inlineStr">
        <is>
          <t>Vancouver</t>
        </is>
      </c>
      <c r="I6" s="3" t="inlineStr">
        <is>
          <t>BC</t>
        </is>
      </c>
      <c r="J6" s="7" t="n">
        <v>480</v>
      </c>
      <c r="K6" s="12" t="inlineStr">
        <is>
          <t>Outstanding</t>
        </is>
      </c>
      <c r="L6" s="5" t="inlineStr">
        <is>
          <t>noah.wilson@example.ca</t>
        </is>
      </c>
      <c r="M6" s="3" t="n">
        <v>4</v>
      </c>
      <c r="N6" s="4">
        <f>IF(K6="Paid","Registered","Awaiting payment")</f>
        <v/>
      </c>
    </row>
    <row r="7">
      <c r="A7" s="9" t="inlineStr">
        <is>
          <t>T-04</t>
        </is>
      </c>
      <c r="B7" s="10" t="inlineStr">
        <is>
          <t>Calgary Stampede CC</t>
        </is>
      </c>
      <c r="C7" s="5" t="inlineStr">
        <is>
          <t>Olivia McDonald</t>
        </is>
      </c>
      <c r="D7" s="5" t="inlineStr">
        <is>
          <t>Ava Grant</t>
        </is>
      </c>
      <c r="E7" s="6" t="inlineStr">
        <is>
          <t>Isla Ross</t>
        </is>
      </c>
      <c r="F7" s="5" t="inlineStr">
        <is>
          <t>Grace Young</t>
        </is>
      </c>
      <c r="G7" s="5" t="inlineStr">
        <is>
          <t>Calgary Curling Club</t>
        </is>
      </c>
      <c r="H7" s="10" t="inlineStr">
        <is>
          <t>Calgary</t>
        </is>
      </c>
      <c r="I7" s="9" t="inlineStr">
        <is>
          <t>AB</t>
        </is>
      </c>
      <c r="J7" s="11" t="n">
        <v>480</v>
      </c>
      <c r="K7" s="8" t="inlineStr">
        <is>
          <t>Paid</t>
        </is>
      </c>
      <c r="L7" s="5" t="inlineStr">
        <is>
          <t>olivia.mcdonald@example.ca</t>
        </is>
      </c>
      <c r="M7" s="9" t="n">
        <v>4</v>
      </c>
      <c r="N7" s="10">
        <f>IF(K7="Paid","Registered","Awaiting payment")</f>
        <v/>
      </c>
    </row>
    <row r="8">
      <c r="A8" s="3" t="inlineStr">
        <is>
          <t>T-05</t>
        </is>
      </c>
      <c r="B8" s="4" t="inlineStr">
        <is>
          <t>Rideau Curling Club</t>
        </is>
      </c>
      <c r="C8" s="5" t="inlineStr">
        <is>
          <t>Lucas Martin</t>
        </is>
      </c>
      <c r="D8" s="5" t="inlineStr">
        <is>
          <t>William King</t>
        </is>
      </c>
      <c r="E8" s="6" t="inlineStr">
        <is>
          <t>James Hall</t>
        </is>
      </c>
      <c r="F8" s="5" t="inlineStr">
        <is>
          <t>Ben Adams</t>
        </is>
      </c>
      <c r="G8" s="5" t="inlineStr">
        <is>
          <t>Rideau Curling Club</t>
        </is>
      </c>
      <c r="H8" s="4" t="inlineStr">
        <is>
          <t>Ottawa</t>
        </is>
      </c>
      <c r="I8" s="3" t="inlineStr">
        <is>
          <t>ON</t>
        </is>
      </c>
      <c r="J8" s="7" t="n">
        <v>480</v>
      </c>
      <c r="K8" s="8" t="inlineStr">
        <is>
          <t>Paid</t>
        </is>
      </c>
      <c r="L8" s="5" t="inlineStr">
        <is>
          <t>lucas.martin@example.ca</t>
        </is>
      </c>
      <c r="M8" s="3" t="n">
        <v>4</v>
      </c>
      <c r="N8" s="4">
        <f>IF(K8="Paid","Registered","Awaiting payment")</f>
        <v/>
      </c>
    </row>
    <row r="9">
      <c r="A9" s="9" t="inlineStr">
        <is>
          <t>T-06</t>
        </is>
      </c>
      <c r="B9" s="10" t="inlineStr">
        <is>
          <t>Club de curling Jacques-Cartier</t>
        </is>
      </c>
      <c r="C9" s="5" t="inlineStr">
        <is>
          <t>Sophie Gagnon</t>
        </is>
      </c>
      <c r="D9" s="5" t="inlineStr">
        <is>
          <t>Eva Morin</t>
        </is>
      </c>
      <c r="E9" s="6" t="inlineStr">
        <is>
          <t>Alice Lavoie</t>
        </is>
      </c>
      <c r="F9" s="5" t="inlineStr">
        <is>
          <t>Zoe Pelletier</t>
        </is>
      </c>
      <c r="G9" s="5" t="inlineStr">
        <is>
          <t>Club de curling Jacques-Cartier</t>
        </is>
      </c>
      <c r="H9" s="10" t="inlineStr">
        <is>
          <t>Quebec City</t>
        </is>
      </c>
      <c r="I9" s="9" t="inlineStr">
        <is>
          <t>QC</t>
        </is>
      </c>
      <c r="J9" s="11" t="n">
        <v>480</v>
      </c>
      <c r="K9" s="12" t="inlineStr">
        <is>
          <t>Outstanding</t>
        </is>
      </c>
      <c r="L9" s="5" t="inlineStr">
        <is>
          <t>sophie.gagnon@example.ca</t>
        </is>
      </c>
      <c r="M9" s="9" t="n">
        <v>4</v>
      </c>
      <c r="N9" s="10">
        <f>IF(K9="Paid","Registered","Awaiting payment")</f>
        <v/>
      </c>
    </row>
    <row r="10">
      <c r="A10" s="3" t="inlineStr">
        <is>
          <t>T-07</t>
        </is>
      </c>
      <c r="B10" s="4" t="inlineStr">
        <is>
          <t>Assiniboine Memorial CC</t>
        </is>
      </c>
      <c r="C10" s="5" t="inlineStr">
        <is>
          <t>Ethan Brown</t>
        </is>
      </c>
      <c r="D10" s="5" t="inlineStr">
        <is>
          <t>Oliver Clark</t>
        </is>
      </c>
      <c r="E10" s="6" t="inlineStr">
        <is>
          <t>Mason Lee</t>
        </is>
      </c>
      <c r="F10" s="5" t="inlineStr">
        <is>
          <t>Levi White</t>
        </is>
      </c>
      <c r="G10" s="5" t="inlineStr">
        <is>
          <t>Assiniboine Memorial Curling Club</t>
        </is>
      </c>
      <c r="H10" s="4" t="inlineStr">
        <is>
          <t>Winnipeg</t>
        </is>
      </c>
      <c r="I10" s="3" t="inlineStr">
        <is>
          <t>MB</t>
        </is>
      </c>
      <c r="J10" s="7" t="n">
        <v>480</v>
      </c>
      <c r="K10" s="8" t="inlineStr">
        <is>
          <t>Paid</t>
        </is>
      </c>
      <c r="L10" s="5" t="inlineStr">
        <is>
          <t>ethan.brown@example.ca</t>
        </is>
      </c>
      <c r="M10" s="3" t="n">
        <v>4</v>
      </c>
      <c r="N10" s="4">
        <f>IF(K10="Paid","Registered","Awaiting payment")</f>
        <v/>
      </c>
    </row>
    <row r="11">
      <c r="A11" s="9" t="inlineStr">
        <is>
          <t>T-08</t>
        </is>
      </c>
      <c r="B11" s="10" t="inlineStr">
        <is>
          <t>Halifax Harbour CC</t>
        </is>
      </c>
      <c r="C11" s="5" t="inlineStr">
        <is>
          <t>Charlotte MacLeod</t>
        </is>
      </c>
      <c r="D11" s="5" t="inlineStr">
        <is>
          <t>Amelia Reid</t>
        </is>
      </c>
      <c r="E11" s="6" t="inlineStr">
        <is>
          <t>Ella Carr</t>
        </is>
      </c>
      <c r="F11" s="5" t="inlineStr">
        <is>
          <t>Lily Fox</t>
        </is>
      </c>
      <c r="G11" s="5" t="inlineStr">
        <is>
          <t>Halifax Harbour Curling Club</t>
        </is>
      </c>
      <c r="H11" s="10" t="inlineStr">
        <is>
          <t>Halifax</t>
        </is>
      </c>
      <c r="I11" s="9" t="inlineStr">
        <is>
          <t>NS</t>
        </is>
      </c>
      <c r="J11" s="11" t="n">
        <v>480</v>
      </c>
      <c r="K11" s="8" t="inlineStr">
        <is>
          <t>Paid</t>
        </is>
      </c>
      <c r="L11" s="5" t="inlineStr">
        <is>
          <t>charlotte.macleod@example.ca</t>
        </is>
      </c>
      <c r="M11" s="9" t="n">
        <v>4</v>
      </c>
      <c r="N11" s="10">
        <f>IF(K11="Paid","Registered","Awaiting payment")</f>
        <v/>
      </c>
    </row>
    <row r="14">
      <c r="A14" s="13" t="inlineStr">
        <is>
          <t>Draw Schedule — February 21–22, 2026</t>
        </is>
      </c>
    </row>
    <row r="16">
      <c r="A16" s="14" t="inlineStr">
        <is>
          <t>Draw ID</t>
        </is>
      </c>
      <c r="B16" s="14" t="inlineStr">
        <is>
          <t>Date</t>
        </is>
      </c>
      <c r="C16" s="14" t="inlineStr">
        <is>
          <t>Start Time</t>
        </is>
      </c>
      <c r="D16" s="14" t="inlineStr">
        <is>
          <t>Sheet</t>
        </is>
      </c>
      <c r="E16" s="14" t="inlineStr">
        <is>
          <t>Event</t>
        </is>
      </c>
      <c r="F16" s="14" t="inlineStr">
        <is>
          <t>Team A ID</t>
        </is>
      </c>
      <c r="G16" s="14" t="inlineStr">
        <is>
          <t>Team A Name</t>
        </is>
      </c>
      <c r="H16" s="14" t="inlineStr">
        <is>
          <t>Team A Score</t>
        </is>
      </c>
      <c r="I16" s="14" t="inlineStr">
        <is>
          <t>Team B ID</t>
        </is>
      </c>
      <c r="J16" s="14" t="inlineStr">
        <is>
          <t>Team B Name</t>
        </is>
      </c>
      <c r="K16" s="14" t="inlineStr">
        <is>
          <t>Team B Score</t>
        </is>
      </c>
      <c r="L16" s="14" t="inlineStr">
        <is>
          <t>Winner</t>
        </is>
      </c>
      <c r="M16" s="14" t="inlineStr">
        <is>
          <t>Game Status</t>
        </is>
      </c>
      <c r="N16" s="14" t="inlineStr">
        <is>
          <t>Notes</t>
        </is>
      </c>
    </row>
    <row r="17">
      <c r="A17" s="3" t="inlineStr">
        <is>
          <t>D-01</t>
        </is>
      </c>
      <c r="B17" s="6" t="inlineStr">
        <is>
          <t>2026-02-21</t>
        </is>
      </c>
      <c r="C17" s="6" t="inlineStr">
        <is>
          <t>09:00</t>
        </is>
      </c>
      <c r="D17" s="6" t="inlineStr">
        <is>
          <t>Sheet 1</t>
        </is>
      </c>
      <c r="E17" s="3" t="inlineStr">
        <is>
          <t>Round Robin</t>
        </is>
      </c>
      <c r="F17" s="6" t="inlineStr">
        <is>
          <t>T-01</t>
        </is>
      </c>
      <c r="G17" s="4">
        <f>IFERROR(VLOOKUP(F17,$A$4:$B$11,2,FALSE),"")</f>
        <v/>
      </c>
      <c r="H17" s="15" t="n">
        <v>8</v>
      </c>
      <c r="I17" s="6" t="inlineStr">
        <is>
          <t>T-04</t>
        </is>
      </c>
      <c r="J17" s="4">
        <f>IFERROR(VLOOKUP(I17,$A$4:$B$11,2,FALSE),"")</f>
        <v/>
      </c>
      <c r="K17" s="15" t="n">
        <v>6</v>
      </c>
      <c r="L17" s="4">
        <f>IF(OR(H17="",K17=""),"",IF(H17&gt;K17,G17,IF(K17&gt;H17,J17,"Tie")))</f>
        <v/>
      </c>
      <c r="M17" s="3">
        <f>IF(AND(ISNUMBER(H17),ISNUMBER(K17)),"Complete","Scheduled")</f>
        <v/>
      </c>
      <c r="N17" s="5" t="inlineStr">
        <is>
          <t>Extra end required</t>
        </is>
      </c>
    </row>
    <row r="18">
      <c r="A18" s="9" t="inlineStr">
        <is>
          <t>D-02</t>
        </is>
      </c>
      <c r="B18" s="6" t="inlineStr">
        <is>
          <t>2026-02-21</t>
        </is>
      </c>
      <c r="C18" s="6" t="inlineStr">
        <is>
          <t>09:00</t>
        </is>
      </c>
      <c r="D18" s="6" t="inlineStr">
        <is>
          <t>Sheet 2</t>
        </is>
      </c>
      <c r="E18" s="9" t="inlineStr">
        <is>
          <t>Round Robin</t>
        </is>
      </c>
      <c r="F18" s="6" t="inlineStr">
        <is>
          <t>T-02</t>
        </is>
      </c>
      <c r="G18" s="10">
        <f>IFERROR(VLOOKUP(F18,$A$4:$B$11,2,FALSE),"")</f>
        <v/>
      </c>
      <c r="H18" s="15" t="n">
        <v>5</v>
      </c>
      <c r="I18" s="6" t="inlineStr">
        <is>
          <t>T-03</t>
        </is>
      </c>
      <c r="J18" s="10">
        <f>IFERROR(VLOOKUP(I18,$A$4:$B$11,2,FALSE),"")</f>
        <v/>
      </c>
      <c r="K18" s="15" t="n">
        <v>5</v>
      </c>
      <c r="L18" s="10">
        <f>IF(OR(H18="",K18=""),"",IF(H18&gt;K18,G18,IF(K18&gt;H18,J18,"Tie")))</f>
        <v/>
      </c>
      <c r="M18" s="9">
        <f>IF(AND(ISNUMBER(H18),ISNUMBER(K18)),"Complete","Scheduled")</f>
        <v/>
      </c>
      <c r="N18" s="5" t="inlineStr">
        <is>
          <t>Tie game — no extra end</t>
        </is>
      </c>
    </row>
    <row r="19">
      <c r="A19" s="3" t="inlineStr">
        <is>
          <t>D-03</t>
        </is>
      </c>
      <c r="B19" s="6" t="inlineStr">
        <is>
          <t>2026-02-21</t>
        </is>
      </c>
      <c r="C19" s="6" t="inlineStr">
        <is>
          <t>13:00</t>
        </is>
      </c>
      <c r="D19" s="6" t="inlineStr">
        <is>
          <t>Sheet 1</t>
        </is>
      </c>
      <c r="E19" s="3" t="inlineStr">
        <is>
          <t>Round Robin</t>
        </is>
      </c>
      <c r="F19" s="6" t="inlineStr">
        <is>
          <t>T-05</t>
        </is>
      </c>
      <c r="G19" s="4">
        <f>IFERROR(VLOOKUP(F19,$A$4:$B$11,2,FALSE),"")</f>
        <v/>
      </c>
      <c r="H19" s="15" t="n">
        <v>7</v>
      </c>
      <c r="I19" s="6" t="inlineStr">
        <is>
          <t>T-08</t>
        </is>
      </c>
      <c r="J19" s="4">
        <f>IFERROR(VLOOKUP(I19,$A$4:$B$11,2,FALSE),"")</f>
        <v/>
      </c>
      <c r="K19" s="15" t="n">
        <v>4</v>
      </c>
      <c r="L19" s="4">
        <f>IF(OR(H19="",K19=""),"",IF(H19&gt;K19,G19,IF(K19&gt;H19,J19,"Tie")))</f>
        <v/>
      </c>
      <c r="M19" s="3">
        <f>IF(AND(ISNUMBER(H19),ISNUMBER(K19)),"Complete","Scheduled")</f>
        <v/>
      </c>
      <c r="N19" s="5" t="inlineStr"/>
    </row>
    <row r="20">
      <c r="A20" s="9" t="inlineStr">
        <is>
          <t>D-04</t>
        </is>
      </c>
      <c r="B20" s="6" t="inlineStr">
        <is>
          <t>2026-02-21</t>
        </is>
      </c>
      <c r="C20" s="6" t="inlineStr">
        <is>
          <t>13:00</t>
        </is>
      </c>
      <c r="D20" s="6" t="inlineStr">
        <is>
          <t>Sheet 2</t>
        </is>
      </c>
      <c r="E20" s="9" t="inlineStr">
        <is>
          <t>Round Robin</t>
        </is>
      </c>
      <c r="F20" s="6" t="inlineStr">
        <is>
          <t>T-06</t>
        </is>
      </c>
      <c r="G20" s="10">
        <f>IFERROR(VLOOKUP(F20,$A$4:$B$11,2,FALSE),"")</f>
        <v/>
      </c>
      <c r="H20" s="15" t="n">
        <v>3</v>
      </c>
      <c r="I20" s="6" t="inlineStr">
        <is>
          <t>T-07</t>
        </is>
      </c>
      <c r="J20" s="10">
        <f>IFERROR(VLOOKUP(I20,$A$4:$B$11,2,FALSE),"")</f>
        <v/>
      </c>
      <c r="K20" s="15" t="n">
        <v>9</v>
      </c>
      <c r="L20" s="10">
        <f>IF(OR(H20="",K20=""),"",IF(H20&gt;K20,G20,IF(K20&gt;H20,J20,"Tie")))</f>
        <v/>
      </c>
      <c r="M20" s="9">
        <f>IF(AND(ISNUMBER(H20),ISNUMBER(K20)),"Complete","Scheduled")</f>
        <v/>
      </c>
      <c r="N20" s="5" t="inlineStr"/>
    </row>
    <row r="21">
      <c r="A21" s="3" t="inlineStr">
        <is>
          <t>D-05</t>
        </is>
      </c>
      <c r="B21" s="6" t="inlineStr">
        <is>
          <t>2026-02-21</t>
        </is>
      </c>
      <c r="C21" s="6" t="inlineStr">
        <is>
          <t>17:00</t>
        </is>
      </c>
      <c r="D21" s="6" t="inlineStr">
        <is>
          <t>Sheet 1</t>
        </is>
      </c>
      <c r="E21" s="3" t="inlineStr">
        <is>
          <t>Round Robin</t>
        </is>
      </c>
      <c r="F21" s="6" t="inlineStr">
        <is>
          <t>T-01</t>
        </is>
      </c>
      <c r="G21" s="4">
        <f>IFERROR(VLOOKUP(F21,$A$4:$B$11,2,FALSE),"")</f>
        <v/>
      </c>
      <c r="H21" s="15" t="n">
        <v>6</v>
      </c>
      <c r="I21" s="6" t="inlineStr">
        <is>
          <t>T-06</t>
        </is>
      </c>
      <c r="J21" s="4">
        <f>IFERROR(VLOOKUP(I21,$A$4:$B$11,2,FALSE),"")</f>
        <v/>
      </c>
      <c r="K21" s="15" t="n">
        <v>2</v>
      </c>
      <c r="L21" s="4">
        <f>IF(OR(H21="",K21=""),"",IF(H21&gt;K21,G21,IF(K21&gt;H21,J21,"Tie")))</f>
        <v/>
      </c>
      <c r="M21" s="3">
        <f>IF(AND(ISNUMBER(H21),ISNUMBER(K21)),"Complete","Scheduled")</f>
        <v/>
      </c>
      <c r="N21" s="5" t="inlineStr"/>
    </row>
    <row r="22">
      <c r="A22" s="9" t="inlineStr">
        <is>
          <t>D-06</t>
        </is>
      </c>
      <c r="B22" s="6" t="inlineStr">
        <is>
          <t>2026-02-21</t>
        </is>
      </c>
      <c r="C22" s="6" t="inlineStr">
        <is>
          <t>17:00</t>
        </is>
      </c>
      <c r="D22" s="6" t="inlineStr">
        <is>
          <t>Sheet 2</t>
        </is>
      </c>
      <c r="E22" s="9" t="inlineStr">
        <is>
          <t>Round Robin</t>
        </is>
      </c>
      <c r="F22" s="6" t="inlineStr">
        <is>
          <t>T-04</t>
        </is>
      </c>
      <c r="G22" s="10">
        <f>IFERROR(VLOOKUP(F22,$A$4:$B$11,2,FALSE),"")</f>
        <v/>
      </c>
      <c r="H22" s="15" t="n">
        <v>7</v>
      </c>
      <c r="I22" s="6" t="inlineStr">
        <is>
          <t>T-07</t>
        </is>
      </c>
      <c r="J22" s="10">
        <f>IFERROR(VLOOKUP(I22,$A$4:$B$11,2,FALSE),"")</f>
        <v/>
      </c>
      <c r="K22" s="15" t="n">
        <v>7</v>
      </c>
      <c r="L22" s="10">
        <f>IF(OR(H22="",K22=""),"",IF(H22&gt;K22,G22,IF(K22&gt;H22,J22,"Tie")))</f>
        <v/>
      </c>
      <c r="M22" s="9">
        <f>IF(AND(ISNUMBER(H22),ISNUMBER(K22)),"Complete","Scheduled")</f>
        <v/>
      </c>
      <c r="N22" s="5" t="inlineStr">
        <is>
          <t>Tie game</t>
        </is>
      </c>
    </row>
    <row r="23">
      <c r="A23" s="3" t="inlineStr">
        <is>
          <t>D-07</t>
        </is>
      </c>
      <c r="B23" s="6" t="inlineStr">
        <is>
          <t>2026-02-22</t>
        </is>
      </c>
      <c r="C23" s="6" t="inlineStr">
        <is>
          <t>10:00</t>
        </is>
      </c>
      <c r="D23" s="6" t="inlineStr">
        <is>
          <t>Sheet 1</t>
        </is>
      </c>
      <c r="E23" s="3" t="inlineStr">
        <is>
          <t>Round Robin</t>
        </is>
      </c>
      <c r="F23" s="6" t="inlineStr">
        <is>
          <t>T-02</t>
        </is>
      </c>
      <c r="G23" s="4">
        <f>IFERROR(VLOOKUP(F23,$A$4:$B$11,2,FALSE),"")</f>
        <v/>
      </c>
      <c r="H23" s="15" t="n">
        <v>4</v>
      </c>
      <c r="I23" s="6" t="inlineStr">
        <is>
          <t>T-05</t>
        </is>
      </c>
      <c r="J23" s="4">
        <f>IFERROR(VLOOKUP(I23,$A$4:$B$11,2,FALSE),"")</f>
        <v/>
      </c>
      <c r="K23" s="15" t="n">
        <v>8</v>
      </c>
      <c r="L23" s="4">
        <f>IF(OR(H23="",K23=""),"",IF(H23&gt;K23,G23,IF(K23&gt;H23,J23,"Tie")))</f>
        <v/>
      </c>
      <c r="M23" s="3">
        <f>IF(AND(ISNUMBER(H23),ISNUMBER(K23)),"Complete","Scheduled")</f>
        <v/>
      </c>
      <c r="N23" s="5" t="inlineStr"/>
    </row>
    <row r="24">
      <c r="A24" s="9" t="inlineStr">
        <is>
          <t>D-08</t>
        </is>
      </c>
      <c r="B24" s="6" t="inlineStr">
        <is>
          <t>2026-02-22</t>
        </is>
      </c>
      <c r="C24" s="6" t="inlineStr">
        <is>
          <t>10:00</t>
        </is>
      </c>
      <c r="D24" s="6" t="inlineStr">
        <is>
          <t>Sheet 2</t>
        </is>
      </c>
      <c r="E24" s="9" t="inlineStr">
        <is>
          <t>Round Robin</t>
        </is>
      </c>
      <c r="F24" s="6" t="inlineStr">
        <is>
          <t>T-03</t>
        </is>
      </c>
      <c r="G24" s="10">
        <f>IFERROR(VLOOKUP(F24,$A$4:$B$11,2,FALSE),"")</f>
        <v/>
      </c>
      <c r="H24" s="15" t="n"/>
      <c r="I24" s="6" t="inlineStr">
        <is>
          <t>T-08</t>
        </is>
      </c>
      <c r="J24" s="10">
        <f>IFERROR(VLOOKUP(I24,$A$4:$B$11,2,FALSE),"")</f>
        <v/>
      </c>
      <c r="K24" s="15" t="n"/>
      <c r="L24" s="10">
        <f>IF(OR(H24="",K24=""),"",IF(H24&gt;K24,G24,IF(K24&gt;H24,J24,"Tie")))</f>
        <v/>
      </c>
      <c r="M24" s="9">
        <f>IF(AND(ISNUMBER(H24),ISNUMBER(K24)),"Complete","Scheduled")</f>
        <v/>
      </c>
      <c r="N24" s="5" t="inlineStr">
        <is>
          <t>Enter scores after game</t>
        </is>
      </c>
    </row>
  </sheetData>
  <autoFilter ref="A16:N24"/>
  <mergeCells count="2">
    <mergeCell ref="A1:N1"/>
    <mergeCell ref="A14:N14"/>
  </mergeCells>
  <conditionalFormatting sqref="M17:M24">
    <cfRule type="expression" priority="1" dxfId="0" stopIfTrue="1">
      <formula>M17="Complete"</formula>
    </cfRule>
  </conditionalFormatting>
  <conditionalFormatting sqref="L17:L24">
    <cfRule type="expression" priority="2" dxfId="1" stopIfTrue="1">
      <formula>L17="Tie"</formula>
    </cfRule>
  </conditionalFormatting>
  <conditionalFormatting sqref="A17:N24">
    <cfRule type="expression" priority="3" dxfId="2" stopIfTrue="1">
      <formula>AND($H17="",$B17&lt;&gt;"")</formula>
    </cfRule>
  </conditionalFormatting>
  <dataValidations count="1">
    <dataValidation sqref="K4:K11" showErrorMessage="1" showInputMessage="1" allowBlank="1" type="list">
      <formula1>"Paid,Outstanding"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9" customWidth="1" min="2" max="2"/>
    <col width="32" customWidth="1" min="3" max="3"/>
    <col width="15" customWidth="1" min="4" max="4"/>
    <col width="13" customWidth="1" min="5" max="5"/>
    <col width="8" customWidth="1" min="6" max="6"/>
    <col width="9" customWidth="1" min="7" max="7"/>
    <col width="7" customWidth="1" min="8" max="8"/>
    <col width="8" customWidth="1" min="9" max="9"/>
    <col width="11" customWidth="1" min="10" max="10"/>
    <col width="13" customWidth="1" min="11" max="11"/>
    <col width="14" customWidth="1" min="12" max="12"/>
    <col width="14" customWidth="1" min="13" max="13"/>
    <col width="17" customWidth="1" min="14" max="14"/>
  </cols>
  <sheetData>
    <row r="1" ht="26" customHeight="1">
      <c r="A1" s="1" t="inlineStr">
        <is>
          <t>2026 Canadian Club Bonspiel — Standings</t>
        </is>
      </c>
    </row>
    <row r="3">
      <c r="A3" s="2" t="inlineStr">
        <is>
          <t>Rank</t>
        </is>
      </c>
      <c r="B3" s="2" t="inlineStr">
        <is>
          <t>Team ID</t>
        </is>
      </c>
      <c r="C3" s="2" t="inlineStr">
        <is>
          <t>Team Name</t>
        </is>
      </c>
      <c r="D3" s="2" t="inlineStr">
        <is>
          <t>City</t>
        </is>
      </c>
      <c r="E3" s="2" t="inlineStr">
        <is>
          <t>Games Played</t>
        </is>
      </c>
      <c r="F3" s="2" t="inlineStr">
        <is>
          <t>Wins</t>
        </is>
      </c>
      <c r="G3" s="2" t="inlineStr">
        <is>
          <t>Losses</t>
        </is>
      </c>
      <c r="H3" s="2" t="inlineStr">
        <is>
          <t>Ties</t>
        </is>
      </c>
      <c r="I3" s="2" t="inlineStr">
        <is>
          <t>Points</t>
        </is>
      </c>
      <c r="J3" s="2" t="inlineStr">
        <is>
          <t>Points For</t>
        </is>
      </c>
      <c r="K3" s="2" t="inlineStr">
        <is>
          <t>Points Against</t>
        </is>
      </c>
      <c r="L3" s="2" t="inlineStr">
        <is>
          <t>Point Differential</t>
        </is>
      </c>
      <c r="M3" s="2" t="inlineStr">
        <is>
          <t>Win Percentage</t>
        </is>
      </c>
      <c r="N3" s="2" t="inlineStr">
        <is>
          <t>Ranking Status</t>
        </is>
      </c>
    </row>
    <row r="4">
      <c r="A4" s="3">
        <f>SUMPRODUCT(($I$4:$I$11&gt;I4)*1)+SUMPRODUCT(($I$4:$I$11=I4)*($L$4:$L$11&gt;L4))+1</f>
        <v/>
      </c>
      <c r="B4" s="3" t="inlineStr">
        <is>
          <t>T-01</t>
        </is>
      </c>
      <c r="C4" s="4">
        <f>IFERROR(VLOOKUP(B4,'Teams &amp; Draw'!$A$4:$B$11,2,FALSE),"")</f>
        <v/>
      </c>
      <c r="D4" s="4">
        <f>IFERROR(VLOOKUP(B4,'Teams &amp; Draw'!$A$4:$H$11,8,FALSE),"")</f>
        <v/>
      </c>
      <c r="E4" s="16">
        <f>COUNTIFS('Teams &amp; Draw'!$F$17:$F$24,B4,'Teams &amp; Draw'!$M$17:$M$24,"Complete")+COUNTIFS('Teams &amp; Draw'!$I$17:$I$24,B4,'Teams &amp; Draw'!$M$17:$M$24,"Complete")</f>
        <v/>
      </c>
      <c r="F4" s="16">
        <f>COUNTIF('Teams &amp; Draw'!$L$17:$L$24,C4)</f>
        <v/>
      </c>
      <c r="G4" s="16">
        <f>MAX(0,E4-F4-H4)</f>
        <v/>
      </c>
      <c r="H4" s="16">
        <f>COUNTIFS('Teams &amp; Draw'!$F$17:$F$24,B4,'Teams &amp; Draw'!$L$17:$L$24,"Tie")+COUNTIFS('Teams &amp; Draw'!$I$17:$I$24,B4,'Teams &amp; Draw'!$L$17:$L$24,"Tie")</f>
        <v/>
      </c>
      <c r="I4" s="16">
        <f>F4*2+H4</f>
        <v/>
      </c>
      <c r="J4" s="16">
        <f>SUMIFS('Teams &amp; Draw'!$H$17:$H$24,'Teams &amp; Draw'!$F$17:$F$24,B4,'Teams &amp; Draw'!$M$17:$M$24,"Complete")+SUMIFS('Teams &amp; Draw'!$K$17:$K$24,'Teams &amp; Draw'!$I$17:$I$24,B4,'Teams &amp; Draw'!$M$17:$M$24,"Complete")</f>
        <v/>
      </c>
      <c r="K4" s="16">
        <f>SUMIFS('Teams &amp; Draw'!$K$17:$K$24,'Teams &amp; Draw'!$F$17:$F$24,B4,'Teams &amp; Draw'!$M$17:$M$24,"Complete")+SUMIFS('Teams &amp; Draw'!$H$17:$H$24,'Teams &amp; Draw'!$I$17:$I$24,B4,'Teams &amp; Draw'!$M$17:$M$24,"Complete")</f>
        <v/>
      </c>
      <c r="L4" s="16">
        <f>J4-K4</f>
        <v/>
      </c>
      <c r="M4" s="17">
        <f>IF(E4=0,0,F4/E4)</f>
        <v/>
      </c>
      <c r="N4" s="4">
        <f>IF(E4=0,"No games",IF(M4&gt;=0.75,"Strong contender","In progress"))</f>
        <v/>
      </c>
    </row>
    <row r="5">
      <c r="A5" s="9">
        <f>SUMPRODUCT(($I$4:$I$11&gt;I5)*1)+SUMPRODUCT(($I$4:$I$11=I5)*($L$4:$L$11&gt;L5))+1</f>
        <v/>
      </c>
      <c r="B5" s="9" t="inlineStr">
        <is>
          <t>T-02</t>
        </is>
      </c>
      <c r="C5" s="10">
        <f>IFERROR(VLOOKUP(B5,'Teams &amp; Draw'!$A$4:$B$11,2,FALSE),"")</f>
        <v/>
      </c>
      <c r="D5" s="10">
        <f>IFERROR(VLOOKUP(B5,'Teams &amp; Draw'!$A$4:$H$11,8,FALSE),"")</f>
        <v/>
      </c>
      <c r="E5" s="18">
        <f>COUNTIFS('Teams &amp; Draw'!$F$17:$F$24,B5,'Teams &amp; Draw'!$M$17:$M$24,"Complete")+COUNTIFS('Teams &amp; Draw'!$I$17:$I$24,B5,'Teams &amp; Draw'!$M$17:$M$24,"Complete")</f>
        <v/>
      </c>
      <c r="F5" s="18">
        <f>COUNTIF('Teams &amp; Draw'!$L$17:$L$24,C5)</f>
        <v/>
      </c>
      <c r="G5" s="18">
        <f>MAX(0,E5-F5-H5)</f>
        <v/>
      </c>
      <c r="H5" s="18">
        <f>COUNTIFS('Teams &amp; Draw'!$F$17:$F$24,B5,'Teams &amp; Draw'!$L$17:$L$24,"Tie")+COUNTIFS('Teams &amp; Draw'!$I$17:$I$24,B5,'Teams &amp; Draw'!$L$17:$L$24,"Tie")</f>
        <v/>
      </c>
      <c r="I5" s="18">
        <f>F5*2+H5</f>
        <v/>
      </c>
      <c r="J5" s="18">
        <f>SUMIFS('Teams &amp; Draw'!$H$17:$H$24,'Teams &amp; Draw'!$F$17:$F$24,B5,'Teams &amp; Draw'!$M$17:$M$24,"Complete")+SUMIFS('Teams &amp; Draw'!$K$17:$K$24,'Teams &amp; Draw'!$I$17:$I$24,B5,'Teams &amp; Draw'!$M$17:$M$24,"Complete")</f>
        <v/>
      </c>
      <c r="K5" s="18">
        <f>SUMIFS('Teams &amp; Draw'!$K$17:$K$24,'Teams &amp; Draw'!$F$17:$F$24,B5,'Teams &amp; Draw'!$M$17:$M$24,"Complete")+SUMIFS('Teams &amp; Draw'!$H$17:$H$24,'Teams &amp; Draw'!$I$17:$I$24,B5,'Teams &amp; Draw'!$M$17:$M$24,"Complete")</f>
        <v/>
      </c>
      <c r="L5" s="18">
        <f>J5-K5</f>
        <v/>
      </c>
      <c r="M5" s="19">
        <f>IF(E5=0,0,F5/E5)</f>
        <v/>
      </c>
      <c r="N5" s="10">
        <f>IF(E5=0,"No games",IF(M5&gt;=0.75,"Strong contender","In progress"))</f>
        <v/>
      </c>
    </row>
    <row r="6">
      <c r="A6" s="3">
        <f>SUMPRODUCT(($I$4:$I$11&gt;I6)*1)+SUMPRODUCT(($I$4:$I$11=I6)*($L$4:$L$11&gt;L6))+1</f>
        <v/>
      </c>
      <c r="B6" s="3" t="inlineStr">
        <is>
          <t>T-03</t>
        </is>
      </c>
      <c r="C6" s="4">
        <f>IFERROR(VLOOKUP(B6,'Teams &amp; Draw'!$A$4:$B$11,2,FALSE),"")</f>
        <v/>
      </c>
      <c r="D6" s="4">
        <f>IFERROR(VLOOKUP(B6,'Teams &amp; Draw'!$A$4:$H$11,8,FALSE),"")</f>
        <v/>
      </c>
      <c r="E6" s="16">
        <f>COUNTIFS('Teams &amp; Draw'!$F$17:$F$24,B6,'Teams &amp; Draw'!$M$17:$M$24,"Complete")+COUNTIFS('Teams &amp; Draw'!$I$17:$I$24,B6,'Teams &amp; Draw'!$M$17:$M$24,"Complete")</f>
        <v/>
      </c>
      <c r="F6" s="16">
        <f>COUNTIF('Teams &amp; Draw'!$L$17:$L$24,C6)</f>
        <v/>
      </c>
      <c r="G6" s="16">
        <f>MAX(0,E6-F6-H6)</f>
        <v/>
      </c>
      <c r="H6" s="16">
        <f>COUNTIFS('Teams &amp; Draw'!$F$17:$F$24,B6,'Teams &amp; Draw'!$L$17:$L$24,"Tie")+COUNTIFS('Teams &amp; Draw'!$I$17:$I$24,B6,'Teams &amp; Draw'!$L$17:$L$24,"Tie")</f>
        <v/>
      </c>
      <c r="I6" s="16">
        <f>F6*2+H6</f>
        <v/>
      </c>
      <c r="J6" s="16">
        <f>SUMIFS('Teams &amp; Draw'!$H$17:$H$24,'Teams &amp; Draw'!$F$17:$F$24,B6,'Teams &amp; Draw'!$M$17:$M$24,"Complete")+SUMIFS('Teams &amp; Draw'!$K$17:$K$24,'Teams &amp; Draw'!$I$17:$I$24,B6,'Teams &amp; Draw'!$M$17:$M$24,"Complete")</f>
        <v/>
      </c>
      <c r="K6" s="16">
        <f>SUMIFS('Teams &amp; Draw'!$K$17:$K$24,'Teams &amp; Draw'!$F$17:$F$24,B6,'Teams &amp; Draw'!$M$17:$M$24,"Complete")+SUMIFS('Teams &amp; Draw'!$H$17:$H$24,'Teams &amp; Draw'!$I$17:$I$24,B6,'Teams &amp; Draw'!$M$17:$M$24,"Complete")</f>
        <v/>
      </c>
      <c r="L6" s="16">
        <f>J6-K6</f>
        <v/>
      </c>
      <c r="M6" s="17">
        <f>IF(E6=0,0,F6/E6)</f>
        <v/>
      </c>
      <c r="N6" s="4">
        <f>IF(E6=0,"No games",IF(M6&gt;=0.75,"Strong contender","In progress"))</f>
        <v/>
      </c>
    </row>
    <row r="7">
      <c r="A7" s="9">
        <f>SUMPRODUCT(($I$4:$I$11&gt;I7)*1)+SUMPRODUCT(($I$4:$I$11=I7)*($L$4:$L$11&gt;L7))+1</f>
        <v/>
      </c>
      <c r="B7" s="9" t="inlineStr">
        <is>
          <t>T-04</t>
        </is>
      </c>
      <c r="C7" s="10">
        <f>IFERROR(VLOOKUP(B7,'Teams &amp; Draw'!$A$4:$B$11,2,FALSE),"")</f>
        <v/>
      </c>
      <c r="D7" s="10">
        <f>IFERROR(VLOOKUP(B7,'Teams &amp; Draw'!$A$4:$H$11,8,FALSE),"")</f>
        <v/>
      </c>
      <c r="E7" s="18">
        <f>COUNTIFS('Teams &amp; Draw'!$F$17:$F$24,B7,'Teams &amp; Draw'!$M$17:$M$24,"Complete")+COUNTIFS('Teams &amp; Draw'!$I$17:$I$24,B7,'Teams &amp; Draw'!$M$17:$M$24,"Complete")</f>
        <v/>
      </c>
      <c r="F7" s="18">
        <f>COUNTIF('Teams &amp; Draw'!$L$17:$L$24,C7)</f>
        <v/>
      </c>
      <c r="G7" s="18">
        <f>MAX(0,E7-F7-H7)</f>
        <v/>
      </c>
      <c r="H7" s="18">
        <f>COUNTIFS('Teams &amp; Draw'!$F$17:$F$24,B7,'Teams &amp; Draw'!$L$17:$L$24,"Tie")+COUNTIFS('Teams &amp; Draw'!$I$17:$I$24,B7,'Teams &amp; Draw'!$L$17:$L$24,"Tie")</f>
        <v/>
      </c>
      <c r="I7" s="18">
        <f>F7*2+H7</f>
        <v/>
      </c>
      <c r="J7" s="18">
        <f>SUMIFS('Teams &amp; Draw'!$H$17:$H$24,'Teams &amp; Draw'!$F$17:$F$24,B7,'Teams &amp; Draw'!$M$17:$M$24,"Complete")+SUMIFS('Teams &amp; Draw'!$K$17:$K$24,'Teams &amp; Draw'!$I$17:$I$24,B7,'Teams &amp; Draw'!$M$17:$M$24,"Complete")</f>
        <v/>
      </c>
      <c r="K7" s="18">
        <f>SUMIFS('Teams &amp; Draw'!$K$17:$K$24,'Teams &amp; Draw'!$F$17:$F$24,B7,'Teams &amp; Draw'!$M$17:$M$24,"Complete")+SUMIFS('Teams &amp; Draw'!$H$17:$H$24,'Teams &amp; Draw'!$I$17:$I$24,B7,'Teams &amp; Draw'!$M$17:$M$24,"Complete")</f>
        <v/>
      </c>
      <c r="L7" s="18">
        <f>J7-K7</f>
        <v/>
      </c>
      <c r="M7" s="19">
        <f>IF(E7=0,0,F7/E7)</f>
        <v/>
      </c>
      <c r="N7" s="10">
        <f>IF(E7=0,"No games",IF(M7&gt;=0.75,"Strong contender","In progress"))</f>
        <v/>
      </c>
    </row>
    <row r="8">
      <c r="A8" s="3">
        <f>SUMPRODUCT(($I$4:$I$11&gt;I8)*1)+SUMPRODUCT(($I$4:$I$11=I8)*($L$4:$L$11&gt;L8))+1</f>
        <v/>
      </c>
      <c r="B8" s="3" t="inlineStr">
        <is>
          <t>T-05</t>
        </is>
      </c>
      <c r="C8" s="4">
        <f>IFERROR(VLOOKUP(B8,'Teams &amp; Draw'!$A$4:$B$11,2,FALSE),"")</f>
        <v/>
      </c>
      <c r="D8" s="4">
        <f>IFERROR(VLOOKUP(B8,'Teams &amp; Draw'!$A$4:$H$11,8,FALSE),"")</f>
        <v/>
      </c>
      <c r="E8" s="16">
        <f>COUNTIFS('Teams &amp; Draw'!$F$17:$F$24,B8,'Teams &amp; Draw'!$M$17:$M$24,"Complete")+COUNTIFS('Teams &amp; Draw'!$I$17:$I$24,B8,'Teams &amp; Draw'!$M$17:$M$24,"Complete")</f>
        <v/>
      </c>
      <c r="F8" s="16">
        <f>COUNTIF('Teams &amp; Draw'!$L$17:$L$24,C8)</f>
        <v/>
      </c>
      <c r="G8" s="16">
        <f>MAX(0,E8-F8-H8)</f>
        <v/>
      </c>
      <c r="H8" s="16">
        <f>COUNTIFS('Teams &amp; Draw'!$F$17:$F$24,B8,'Teams &amp; Draw'!$L$17:$L$24,"Tie")+COUNTIFS('Teams &amp; Draw'!$I$17:$I$24,B8,'Teams &amp; Draw'!$L$17:$L$24,"Tie")</f>
        <v/>
      </c>
      <c r="I8" s="16">
        <f>F8*2+H8</f>
        <v/>
      </c>
      <c r="J8" s="16">
        <f>SUMIFS('Teams &amp; Draw'!$H$17:$H$24,'Teams &amp; Draw'!$F$17:$F$24,B8,'Teams &amp; Draw'!$M$17:$M$24,"Complete")+SUMIFS('Teams &amp; Draw'!$K$17:$K$24,'Teams &amp; Draw'!$I$17:$I$24,B8,'Teams &amp; Draw'!$M$17:$M$24,"Complete")</f>
        <v/>
      </c>
      <c r="K8" s="16">
        <f>SUMIFS('Teams &amp; Draw'!$K$17:$K$24,'Teams &amp; Draw'!$F$17:$F$24,B8,'Teams &amp; Draw'!$M$17:$M$24,"Complete")+SUMIFS('Teams &amp; Draw'!$H$17:$H$24,'Teams &amp; Draw'!$I$17:$I$24,B8,'Teams &amp; Draw'!$M$17:$M$24,"Complete")</f>
        <v/>
      </c>
      <c r="L8" s="16">
        <f>J8-K8</f>
        <v/>
      </c>
      <c r="M8" s="17">
        <f>IF(E8=0,0,F8/E8)</f>
        <v/>
      </c>
      <c r="N8" s="4">
        <f>IF(E8=0,"No games",IF(M8&gt;=0.75,"Strong contender","In progress"))</f>
        <v/>
      </c>
    </row>
    <row r="9">
      <c r="A9" s="9">
        <f>SUMPRODUCT(($I$4:$I$11&gt;I9)*1)+SUMPRODUCT(($I$4:$I$11=I9)*($L$4:$L$11&gt;L9))+1</f>
        <v/>
      </c>
      <c r="B9" s="9" t="inlineStr">
        <is>
          <t>T-06</t>
        </is>
      </c>
      <c r="C9" s="10">
        <f>IFERROR(VLOOKUP(B9,'Teams &amp; Draw'!$A$4:$B$11,2,FALSE),"")</f>
        <v/>
      </c>
      <c r="D9" s="10">
        <f>IFERROR(VLOOKUP(B9,'Teams &amp; Draw'!$A$4:$H$11,8,FALSE),"")</f>
        <v/>
      </c>
      <c r="E9" s="18">
        <f>COUNTIFS('Teams &amp; Draw'!$F$17:$F$24,B9,'Teams &amp; Draw'!$M$17:$M$24,"Complete")+COUNTIFS('Teams &amp; Draw'!$I$17:$I$24,B9,'Teams &amp; Draw'!$M$17:$M$24,"Complete")</f>
        <v/>
      </c>
      <c r="F9" s="18">
        <f>COUNTIF('Teams &amp; Draw'!$L$17:$L$24,C9)</f>
        <v/>
      </c>
      <c r="G9" s="18">
        <f>MAX(0,E9-F9-H9)</f>
        <v/>
      </c>
      <c r="H9" s="18">
        <f>COUNTIFS('Teams &amp; Draw'!$F$17:$F$24,B9,'Teams &amp; Draw'!$L$17:$L$24,"Tie")+COUNTIFS('Teams &amp; Draw'!$I$17:$I$24,B9,'Teams &amp; Draw'!$L$17:$L$24,"Tie")</f>
        <v/>
      </c>
      <c r="I9" s="18">
        <f>F9*2+H9</f>
        <v/>
      </c>
      <c r="J9" s="18">
        <f>SUMIFS('Teams &amp; Draw'!$H$17:$H$24,'Teams &amp; Draw'!$F$17:$F$24,B9,'Teams &amp; Draw'!$M$17:$M$24,"Complete")+SUMIFS('Teams &amp; Draw'!$K$17:$K$24,'Teams &amp; Draw'!$I$17:$I$24,B9,'Teams &amp; Draw'!$M$17:$M$24,"Complete")</f>
        <v/>
      </c>
      <c r="K9" s="18">
        <f>SUMIFS('Teams &amp; Draw'!$K$17:$K$24,'Teams &amp; Draw'!$F$17:$F$24,B9,'Teams &amp; Draw'!$M$17:$M$24,"Complete")+SUMIFS('Teams &amp; Draw'!$H$17:$H$24,'Teams &amp; Draw'!$I$17:$I$24,B9,'Teams &amp; Draw'!$M$17:$M$24,"Complete")</f>
        <v/>
      </c>
      <c r="L9" s="18">
        <f>J9-K9</f>
        <v/>
      </c>
      <c r="M9" s="19">
        <f>IF(E9=0,0,F9/E9)</f>
        <v/>
      </c>
      <c r="N9" s="10">
        <f>IF(E9=0,"No games",IF(M9&gt;=0.75,"Strong contender","In progress"))</f>
        <v/>
      </c>
    </row>
    <row r="10">
      <c r="A10" s="3">
        <f>SUMPRODUCT(($I$4:$I$11&gt;I10)*1)+SUMPRODUCT(($I$4:$I$11=I10)*($L$4:$L$11&gt;L10))+1</f>
        <v/>
      </c>
      <c r="B10" s="3" t="inlineStr">
        <is>
          <t>T-07</t>
        </is>
      </c>
      <c r="C10" s="4">
        <f>IFERROR(VLOOKUP(B10,'Teams &amp; Draw'!$A$4:$B$11,2,FALSE),"")</f>
        <v/>
      </c>
      <c r="D10" s="4">
        <f>IFERROR(VLOOKUP(B10,'Teams &amp; Draw'!$A$4:$H$11,8,FALSE),"")</f>
        <v/>
      </c>
      <c r="E10" s="16">
        <f>COUNTIFS('Teams &amp; Draw'!$F$17:$F$24,B10,'Teams &amp; Draw'!$M$17:$M$24,"Complete")+COUNTIFS('Teams &amp; Draw'!$I$17:$I$24,B10,'Teams &amp; Draw'!$M$17:$M$24,"Complete")</f>
        <v/>
      </c>
      <c r="F10" s="16">
        <f>COUNTIF('Teams &amp; Draw'!$L$17:$L$24,C10)</f>
        <v/>
      </c>
      <c r="G10" s="16">
        <f>MAX(0,E10-F10-H10)</f>
        <v/>
      </c>
      <c r="H10" s="16">
        <f>COUNTIFS('Teams &amp; Draw'!$F$17:$F$24,B10,'Teams &amp; Draw'!$L$17:$L$24,"Tie")+COUNTIFS('Teams &amp; Draw'!$I$17:$I$24,B10,'Teams &amp; Draw'!$L$17:$L$24,"Tie")</f>
        <v/>
      </c>
      <c r="I10" s="16">
        <f>F10*2+H10</f>
        <v/>
      </c>
      <c r="J10" s="16">
        <f>SUMIFS('Teams &amp; Draw'!$H$17:$H$24,'Teams &amp; Draw'!$F$17:$F$24,B10,'Teams &amp; Draw'!$M$17:$M$24,"Complete")+SUMIFS('Teams &amp; Draw'!$K$17:$K$24,'Teams &amp; Draw'!$I$17:$I$24,B10,'Teams &amp; Draw'!$M$17:$M$24,"Complete")</f>
        <v/>
      </c>
      <c r="K10" s="16">
        <f>SUMIFS('Teams &amp; Draw'!$K$17:$K$24,'Teams &amp; Draw'!$F$17:$F$24,B10,'Teams &amp; Draw'!$M$17:$M$24,"Complete")+SUMIFS('Teams &amp; Draw'!$H$17:$H$24,'Teams &amp; Draw'!$I$17:$I$24,B10,'Teams &amp; Draw'!$M$17:$M$24,"Complete")</f>
        <v/>
      </c>
      <c r="L10" s="16">
        <f>J10-K10</f>
        <v/>
      </c>
      <c r="M10" s="17">
        <f>IF(E10=0,0,F10/E10)</f>
        <v/>
      </c>
      <c r="N10" s="4">
        <f>IF(E10=0,"No games",IF(M10&gt;=0.75,"Strong contender","In progress"))</f>
        <v/>
      </c>
    </row>
    <row r="11">
      <c r="A11" s="9">
        <f>SUMPRODUCT(($I$4:$I$11&gt;I11)*1)+SUMPRODUCT(($I$4:$I$11=I11)*($L$4:$L$11&gt;L11))+1</f>
        <v/>
      </c>
      <c r="B11" s="9" t="inlineStr">
        <is>
          <t>T-08</t>
        </is>
      </c>
      <c r="C11" s="10">
        <f>IFERROR(VLOOKUP(B11,'Teams &amp; Draw'!$A$4:$B$11,2,FALSE),"")</f>
        <v/>
      </c>
      <c r="D11" s="10">
        <f>IFERROR(VLOOKUP(B11,'Teams &amp; Draw'!$A$4:$H$11,8,FALSE),"")</f>
        <v/>
      </c>
      <c r="E11" s="18">
        <f>COUNTIFS('Teams &amp; Draw'!$F$17:$F$24,B11,'Teams &amp; Draw'!$M$17:$M$24,"Complete")+COUNTIFS('Teams &amp; Draw'!$I$17:$I$24,B11,'Teams &amp; Draw'!$M$17:$M$24,"Complete")</f>
        <v/>
      </c>
      <c r="F11" s="18">
        <f>COUNTIF('Teams &amp; Draw'!$L$17:$L$24,C11)</f>
        <v/>
      </c>
      <c r="G11" s="18">
        <f>MAX(0,E11-F11-H11)</f>
        <v/>
      </c>
      <c r="H11" s="18">
        <f>COUNTIFS('Teams &amp; Draw'!$F$17:$F$24,B11,'Teams &amp; Draw'!$L$17:$L$24,"Tie")+COUNTIFS('Teams &amp; Draw'!$I$17:$I$24,B11,'Teams &amp; Draw'!$L$17:$L$24,"Tie")</f>
        <v/>
      </c>
      <c r="I11" s="18">
        <f>F11*2+H11</f>
        <v/>
      </c>
      <c r="J11" s="18">
        <f>SUMIFS('Teams &amp; Draw'!$H$17:$H$24,'Teams &amp; Draw'!$F$17:$F$24,B11,'Teams &amp; Draw'!$M$17:$M$24,"Complete")+SUMIFS('Teams &amp; Draw'!$K$17:$K$24,'Teams &amp; Draw'!$I$17:$I$24,B11,'Teams &amp; Draw'!$M$17:$M$24,"Complete")</f>
        <v/>
      </c>
      <c r="K11" s="18">
        <f>SUMIFS('Teams &amp; Draw'!$K$17:$K$24,'Teams &amp; Draw'!$F$17:$F$24,B11,'Teams &amp; Draw'!$M$17:$M$24,"Complete")+SUMIFS('Teams &amp; Draw'!$H$17:$H$24,'Teams &amp; Draw'!$I$17:$I$24,B11,'Teams &amp; Draw'!$M$17:$M$24,"Complete")</f>
        <v/>
      </c>
      <c r="L11" s="18">
        <f>J11-K11</f>
        <v/>
      </c>
      <c r="M11" s="19">
        <f>IF(E11=0,0,F11/E11)</f>
        <v/>
      </c>
      <c r="N11" s="10">
        <f>IF(E11=0,"No games",IF(M11&gt;=0.75,"Strong contender","In progress"))</f>
        <v/>
      </c>
    </row>
    <row r="12">
      <c r="A12" s="20" t="inlineStr">
        <is>
          <t>TOTALS</t>
        </is>
      </c>
      <c r="B12" s="20" t="n"/>
      <c r="C12" s="20" t="n"/>
      <c r="D12" s="20" t="n"/>
      <c r="E12" s="21">
        <f>SUM(E4:E11)</f>
        <v/>
      </c>
      <c r="F12" s="21">
        <f>SUM(F4:F11)</f>
        <v/>
      </c>
      <c r="G12" s="20" t="n"/>
      <c r="H12" s="20" t="n"/>
      <c r="I12" s="22">
        <f>AVERAGE(I4:I11)</f>
        <v/>
      </c>
      <c r="J12" s="21">
        <f>SUM(J4:J11)</f>
        <v/>
      </c>
      <c r="K12" s="21">
        <f>SUM(K4:K11)</f>
        <v/>
      </c>
      <c r="L12" s="23">
        <f>'Teams &amp; Draw'!J4+'Teams &amp; Draw'!J5+'Teams &amp; Draw'!J6+'Teams &amp; Draw'!J7+'Teams &amp; Draw'!J8+'Teams &amp; Draw'!J9+'Teams &amp; Draw'!J10+'Teams &amp; Draw'!J11</f>
        <v/>
      </c>
      <c r="M12" s="20" t="n"/>
      <c r="N12" s="20" t="n"/>
    </row>
    <row r="14">
      <c r="A14" s="24" t="inlineStr">
        <is>
          <t>Total Entry Fees Collected (CAD)</t>
        </is>
      </c>
      <c r="E14" s="25">
        <f>SUMIF('Teams &amp; Draw'!K4:K11,"Paid",'Teams &amp; Draw'!J4:J11)</f>
        <v/>
      </c>
    </row>
    <row r="15">
      <c r="A15" s="24" t="inlineStr">
        <is>
          <t>Total Entry Fees Outstanding (CAD)</t>
        </is>
      </c>
      <c r="E15" s="26">
        <f>SUMIF('Teams &amp; Draw'!K4:K11,"Outstanding",'Teams &amp; Draw'!J4:J11)</f>
        <v/>
      </c>
    </row>
  </sheetData>
  <autoFilter ref="A3:N11"/>
  <mergeCells count="3">
    <mergeCell ref="A1:N1"/>
    <mergeCell ref="A14:D14"/>
    <mergeCell ref="A15:D15"/>
  </mergeCells>
  <conditionalFormatting sqref="N4:N11">
    <cfRule type="expression" priority="1" dxfId="0" stopIfTrue="1">
      <formula>N4="Strong contender"</formula>
    </cfRule>
  </conditionalFormatting>
  <conditionalFormatting sqref="L4:L11">
    <cfRule type="expression" priority="2" dxfId="3" stopIfTrue="1">
      <formula>L4&lt;0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3" customWidth="1" min="3" max="3"/>
    <col width="20" customWidth="1" min="4" max="4"/>
    <col width="12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" t="inlineStr">
        <is>
          <t>2026 Canadian Club Bonspiel — Dashboard</t>
        </is>
      </c>
    </row>
    <row r="2">
      <c r="A2" s="27" t="inlineStr">
        <is>
          <t>Event dates: 2026-02-21 to 2026-02-22  |  All amounts in CAD</t>
        </is>
      </c>
    </row>
    <row r="4">
      <c r="A4" s="28" t="inlineStr">
        <is>
          <t>Key Metrics</t>
        </is>
      </c>
      <c r="B4" s="28" t="n"/>
      <c r="D4" s="28" t="inlineStr">
        <is>
          <t>Registration Status</t>
        </is>
      </c>
      <c r="E4" s="28" t="inlineStr">
        <is>
          <t>Teams</t>
        </is>
      </c>
    </row>
    <row r="5">
      <c r="A5" s="29" t="inlineStr">
        <is>
          <t>Total Registered Teams</t>
        </is>
      </c>
      <c r="B5" s="30">
        <f>COUNTA('Teams &amp; Draw'!A4:A11)</f>
        <v/>
      </c>
      <c r="D5" s="10" t="inlineStr">
        <is>
          <t>Paid</t>
        </is>
      </c>
      <c r="E5" s="9">
        <f>COUNTIF('Teams &amp; Draw'!K4:K11,"Paid")</f>
        <v/>
      </c>
    </row>
    <row r="6">
      <c r="A6" s="31" t="inlineStr">
        <is>
          <t>Paid Teams</t>
        </is>
      </c>
      <c r="B6" s="32">
        <f>COUNTIF('Teams &amp; Draw'!K4:K11,"Paid")</f>
        <v/>
      </c>
      <c r="D6" s="10" t="inlineStr">
        <is>
          <t>Outstanding</t>
        </is>
      </c>
      <c r="E6" s="9">
        <f>COUNTIF('Teams &amp; Draw'!K4:K11,"Outstanding")</f>
        <v/>
      </c>
    </row>
    <row r="7">
      <c r="A7" s="29" t="inlineStr">
        <is>
          <t>Outstanding Balances</t>
        </is>
      </c>
      <c r="B7" s="33">
        <f>COUNTIF('Teams &amp; Draw'!K4:K11,"Outstanding")</f>
        <v/>
      </c>
    </row>
    <row r="8">
      <c r="A8" s="31" t="inlineStr">
        <is>
          <t>Total Expected Entry Fees</t>
        </is>
      </c>
      <c r="B8" s="34">
        <f>SUM('Teams &amp; Draw'!J4:J11)</f>
        <v/>
      </c>
    </row>
    <row r="9">
      <c r="A9" s="29" t="inlineStr">
        <is>
          <t>Average Team Points</t>
        </is>
      </c>
      <c r="B9" s="35">
        <f>AVERAGE(Standings!I4:I11)</f>
        <v/>
      </c>
    </row>
    <row r="10">
      <c r="A10" s="31" t="inlineStr">
        <is>
          <t>Completed Games</t>
        </is>
      </c>
      <c r="B10" s="32">
        <f>COUNTIF('Teams &amp; Draw'!M17:M24,"Complete")</f>
        <v/>
      </c>
    </row>
    <row r="11">
      <c r="A11" s="29" t="inlineStr">
        <is>
          <t>Scheduled Draws</t>
        </is>
      </c>
      <c r="B11" s="30">
        <f>COUNTA('Teams &amp; Draw'!A17:A24)</f>
        <v/>
      </c>
    </row>
    <row r="12">
      <c r="A12" s="31" t="inlineStr">
        <is>
          <t>Completion Percentage</t>
        </is>
      </c>
      <c r="B12" s="36">
        <f>IFERROR(B10/B11,0)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40" customWidth="1" min="2" max="2"/>
    <col width="40" customWidth="1" min="3" max="3"/>
    <col width="40" customWidth="1" min="4" max="4"/>
  </cols>
  <sheetData>
    <row r="1" ht="26" customHeight="1">
      <c r="A1" s="1" t="inlineStr">
        <is>
          <t>2026 Canadian Club Bonspiel — User Guide</t>
        </is>
      </c>
    </row>
    <row r="3">
      <c r="A3" s="2" t="inlineStr">
        <is>
          <t>Section</t>
        </is>
      </c>
      <c r="B3" s="2" t="inlineStr">
        <is>
          <t>Instructions</t>
        </is>
      </c>
      <c r="C3" s="42" t="n"/>
      <c r="D3" s="43" t="n"/>
    </row>
    <row r="4" ht="42" customHeight="1">
      <c r="A4" s="31" t="inlineStr">
        <is>
          <t>Entering teams</t>
        </is>
      </c>
      <c r="B4" s="38" t="inlineStr">
        <is>
          <t>Open the 'Teams &amp; Draw' sheet. Replace the 8 sample teams with your own. Pale yellow cells (Skip, Third, Second, Lead, Home Club, Paid?, Contact Email) are editable. Keep Team IDs unique (T-01 to T-08) so the schedule VLOOKUPs work.</t>
        </is>
      </c>
      <c r="C4" s="42" t="n"/>
      <c r="D4" s="43" t="n"/>
    </row>
    <row r="5" ht="42" customHeight="1">
      <c r="A5" s="29" t="inlineStr">
        <is>
          <t>Draw schedule</t>
        </is>
      </c>
      <c r="B5" s="40" t="inlineStr">
        <is>
          <t>Enter Team A ID and Team B ID in the Draw Schedule table — team names appear automatically via VLOOKUP. Enter dates (YYYY-MM-DD), start times, sheets, and notes in the pale yellow input cells.</t>
        </is>
      </c>
      <c r="C5" s="42" t="n"/>
      <c r="D5" s="43" t="n"/>
    </row>
    <row r="6" ht="42" customHeight="1">
      <c r="A6" s="31" t="inlineStr">
        <is>
          <t>Recording results</t>
        </is>
      </c>
      <c r="B6" s="38" t="inlineStr">
        <is>
          <t>After each game, type the final scores in Team A Score and Team B Score. The Winner column updates automatically (blank until both scores are entered; shows the winning team name or 'Tie'). Game Status changes from 'Scheduled' to 'Complete'.</t>
        </is>
      </c>
      <c r="C6" s="42" t="n"/>
      <c r="D6" s="43" t="n"/>
    </row>
    <row r="7" ht="42" customHeight="1">
      <c r="A7" s="29" t="inlineStr">
        <is>
          <t>Scoring</t>
        </is>
      </c>
      <c r="B7" s="40" t="inlineStr">
        <is>
          <t>Suggested bonspiel scoring: Win = 2 points, Tie = 1 point, Loss = 0 points. Points are calculated on the Standings sheet as Wins*2 + Ties.</t>
        </is>
      </c>
      <c r="C7" s="42" t="n"/>
      <c r="D7" s="43" t="n"/>
    </row>
    <row r="8" ht="42" customHeight="1">
      <c r="A8" s="31" t="inlineStr">
        <is>
          <t>Standings</t>
        </is>
      </c>
      <c r="B8" s="38" t="inlineStr">
        <is>
          <t>The Standings sheet updates automatically: Games Played (COUNTIF on completed draws), Wins, Losses, Ties, Points, Points For/Against (SUMIF on draw scores), Point Differential, Win Percentage (IF Games Played = 0 then 0), and Ranking Status. Rank uses Points, then Point Differential as the tiebreaker.</t>
        </is>
      </c>
      <c r="C8" s="42" t="n"/>
      <c r="D8" s="43" t="n"/>
    </row>
    <row r="9" ht="42" customHeight="1">
      <c r="A9" s="29" t="inlineStr">
        <is>
          <t>Dashboard</t>
        </is>
      </c>
      <c r="B9" s="40" t="inlineStr">
        <is>
          <t>The Dashboard summarizes registered teams, paid vs outstanding balances, expected entry fees, average points, and completion percentage, with charts for points, wins/losses, and registration status.</t>
        </is>
      </c>
      <c r="C9" s="42" t="n"/>
      <c r="D9" s="43" t="n"/>
    </row>
    <row r="10" ht="42" customHeight="1">
      <c r="A10" s="31" t="inlineStr">
        <is>
          <t>Canadian notes</t>
        </is>
      </c>
      <c r="B10" s="38" t="inlineStr">
        <is>
          <t>Entry fees are shown in Canadian dollars (CAD). Whether GST/HST applies to bonspiel entry fees depends on your club's registration status — confirm treatment with the club treasurer and CRA requirements before invoicing teams.</t>
        </is>
      </c>
      <c r="C10" s="42" t="n"/>
      <c r="D10" s="43" t="n"/>
    </row>
    <row r="11" ht="42" customHeight="1">
      <c r="A11" s="29" t="inlineStr">
        <is>
          <t>Colour legend</t>
        </is>
      </c>
      <c r="B11" s="40" t="inlineStr">
        <is>
          <t>Pale yellow #FFFBEB = user input cell. Green #16A34A = positive result (paid fees, strong contender, completed game). Red #DC2626 = alert or incomplete result (outstanding balance, missing score, negative differential).</t>
        </is>
      </c>
      <c r="C11" s="42" t="n"/>
      <c r="D11" s="43" t="n"/>
    </row>
    <row r="12" ht="42" customHeight="1">
      <c r="A12" s="31" t="inlineStr">
        <is>
          <t>Tips</t>
        </is>
      </c>
      <c r="B12" s="38" t="inlineStr">
        <is>
          <t>Use the filters on each table header to sort by city, status, or points. Top rows are frozen so headers stay visible while scrolling. Add more draws by copying a schedule row and updating the formulas' ranges if needed.</t>
        </is>
      </c>
      <c r="C12" s="42" t="n"/>
      <c r="D12" s="43" t="n"/>
    </row>
  </sheetData>
  <mergeCells count="11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2026-07-30T12:18:16Z</dcterms:created>
  <dcterms:modified xmlns:dcterms="http://purl.org/dc/terms/" xmlns:xsi="http://www.w3.org/2001/XMLSchema-instance" xsi:type="dcterms:W3CDTF">2026-07-30T12:18:16Z</dcterms:modified>
</cp:coreProperties>
</file>