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Tracker"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yyyy-mm-dd"/>
    <numFmt numFmtId="165" formatCode="$#,##0.00"/>
    <numFmt numFmtId="166" formatCode="0.0%"/>
  </numFmts>
  <fonts count="5">
    <font>
      <name val="Calibri"/>
      <family val="2"/>
      <color theme="1"/>
      <sz val="11"/>
      <scheme val="minor"/>
    </font>
    <font>
      <b val="1"/>
      <color rgb="00FFFFFF"/>
      <sz val="14"/>
    </font>
    <font>
      <b val="1"/>
      <color rgb="00FFFFFF"/>
      <sz val="11"/>
    </font>
    <font>
      <color rgb="000F172A"/>
      <sz val="11"/>
    </font>
    <font>
      <b val="1"/>
      <color rgb="000F172A"/>
      <sz val="11"/>
    </font>
  </fonts>
  <fills count="8">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E2E8F0"/>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4">
    <xf numFmtId="0" fontId="0" fillId="0" borderId="0" pivotButton="0" quotePrefix="0" xfId="0"/>
    <xf numFmtId="0" fontId="1" fillId="2" borderId="0" applyAlignment="1" pivotButton="0" quotePrefix="0" xfId="0">
      <alignment horizontal="center" vertical="center"/>
    </xf>
    <xf numFmtId="0" fontId="0" fillId="2" borderId="0" pivotButton="0" quotePrefix="0" xfId="0"/>
    <xf numFmtId="0" fontId="2" fillId="2" borderId="1" applyAlignment="1" pivotButton="0" quotePrefix="0" xfId="0">
      <alignment horizontal="center" vertical="center" wrapText="1"/>
    </xf>
    <xf numFmtId="0" fontId="3" fillId="3" borderId="1" applyAlignment="1" pivotButton="0" quotePrefix="0" xfId="0">
      <alignment horizontal="center" vertical="center"/>
    </xf>
    <xf numFmtId="164" fontId="3" fillId="3" borderId="1" pivotButton="0" quotePrefix="0" xfId="0"/>
    <xf numFmtId="0" fontId="3" fillId="3" borderId="1" pivotButton="0" quotePrefix="0" xfId="0"/>
    <xf numFmtId="9" fontId="3" fillId="3" borderId="1" applyAlignment="1" pivotButton="0" quotePrefix="0" xfId="0">
      <alignment horizontal="center" vertical="center"/>
    </xf>
    <xf numFmtId="165" fontId="3" fillId="3" borderId="1" pivotButton="0" quotePrefix="0" xfId="0"/>
    <xf numFmtId="165" fontId="3" fillId="4" borderId="1" pivotButton="0" quotePrefix="0" xfId="0"/>
    <xf numFmtId="0" fontId="3" fillId="4" borderId="1" applyAlignment="1" pivotButton="0" quotePrefix="0" xfId="0">
      <alignment horizontal="center" vertical="center"/>
    </xf>
    <xf numFmtId="165" fontId="3" fillId="5" borderId="1" pivotButton="0" quotePrefix="0" xfId="0"/>
    <xf numFmtId="0" fontId="3" fillId="5" borderId="1" applyAlignment="1" pivotButton="0" quotePrefix="0" xfId="0">
      <alignment horizontal="center" vertical="center"/>
    </xf>
    <xf numFmtId="0" fontId="4" fillId="6" borderId="1" pivotButton="0" quotePrefix="0" xfId="0"/>
    <xf numFmtId="0" fontId="0" fillId="6" borderId="1" pivotButton="0" quotePrefix="0" xfId="0"/>
    <xf numFmtId="165" fontId="4" fillId="6" borderId="1" pivotButton="0" quotePrefix="0" xfId="0"/>
    <xf numFmtId="0" fontId="2" fillId="7" borderId="1" applyAlignment="1" pivotButton="0" quotePrefix="0" xfId="0">
      <alignment horizontal="center" vertical="center"/>
    </xf>
    <xf numFmtId="0" fontId="3" fillId="4" borderId="1" pivotButton="0" quotePrefix="0" xfId="0"/>
    <xf numFmtId="165" fontId="4" fillId="4" borderId="1" pivotButton="0" quotePrefix="0" xfId="0"/>
    <xf numFmtId="0" fontId="3" fillId="0" borderId="1" pivotButton="0" quotePrefix="0" xfId="0"/>
    <xf numFmtId="165" fontId="4" fillId="0" borderId="1" pivotButton="0" quotePrefix="0" xfId="0"/>
    <xf numFmtId="1" fontId="4" fillId="4" borderId="1" pivotButton="0" quotePrefix="0" xfId="0"/>
    <xf numFmtId="1" fontId="4" fillId="0" borderId="1" pivotButton="0" quotePrefix="0" xfId="0"/>
    <xf numFmtId="166" fontId="3" fillId="4" borderId="1" pivotButton="0" quotePrefix="0" xfId="0"/>
    <xf numFmtId="165" fontId="3" fillId="0" borderId="1" pivotButton="0" quotePrefix="0" xfId="0"/>
    <xf numFmtId="166" fontId="3" fillId="0" borderId="1" pivotButton="0" quotePrefix="0" xfId="0"/>
    <xf numFmtId="0" fontId="2" fillId="7" borderId="0" pivotButton="0" quotePrefix="0" xfId="0"/>
    <xf numFmtId="0" fontId="0" fillId="7" borderId="0" pivotButton="0" quotePrefix="0" xfId="0"/>
    <xf numFmtId="0" fontId="2" fillId="2" borderId="1" applyAlignment="1" pivotButton="0" quotePrefix="0" xfId="0">
      <alignment horizontal="center" vertical="center"/>
    </xf>
    <xf numFmtId="164" fontId="3" fillId="4" borderId="1" pivotButton="0" quotePrefix="0" xfId="0"/>
    <xf numFmtId="164" fontId="3" fillId="0" borderId="1" pivotButton="0" quotePrefix="0" xfId="0"/>
    <xf numFmtId="0" fontId="2" fillId="7" borderId="1" applyAlignment="1" pivotButton="0" quotePrefix="0" xfId="0">
      <alignment horizontal="left" vertical="center"/>
    </xf>
    <xf numFmtId="0" fontId="3" fillId="4" borderId="1" applyAlignment="1" pivotButton="0" quotePrefix="0" xfId="0">
      <alignment horizontal="left" vertical="top" wrapText="1"/>
    </xf>
    <xf numFmtId="0" fontId="3" fillId="5" borderId="1" applyAlignment="1" pivotButton="0" quotePrefix="0" xfId="0">
      <alignment horizontal="left" vertical="top" wrapText="1"/>
    </xf>
  </cellXfs>
  <cellStyles count="1">
    <cellStyle name="Normal" xfId="0" builtinId="0" hidden="0"/>
  </cellStyles>
  <dxfs count="4">
    <dxf>
      <font>
        <b val="1"/>
        <color rgb="00DC2626"/>
        <sz val="11"/>
      </font>
    </dxf>
    <dxf>
      <font>
        <b val="1"/>
        <color rgb="0015803D"/>
        <sz val="11"/>
      </font>
    </dxf>
    <dxf>
      <font>
        <b val="1"/>
        <color rgb="00DC2626"/>
        <sz val="11"/>
      </font>
      <fill>
        <patternFill patternType="solid">
          <fgColor rgb="00FEE2E2"/>
        </patternFill>
      </fill>
    </dxf>
    <dxf>
      <font>
        <b val="1"/>
        <color rgb="0015803D"/>
        <sz val="11"/>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Actual Expenses by Category</a:t>
            </a:r>
          </a:p>
        </rich>
      </tx>
    </title>
    <plotArea>
      <doughnutChart>
        <varyColors val="1"/>
        <ser>
          <idx val="0"/>
          <order val="0"/>
          <tx>
            <strRef>
              <f>'Summary Dashboard'!B15</f>
            </strRef>
          </tx>
          <spPr>
            <a:solidFill xmlns:a="http://schemas.openxmlformats.org/drawingml/2006/main">
              <a:srgbClr val="C8102E"/>
            </a:solidFill>
            <a:ln xmlns:a="http://schemas.openxmlformats.org/drawingml/2006/main">
              <a:prstDash val="solid"/>
            </a:ln>
          </spPr>
          <cat>
            <numRef>
              <f>'Summary Dashboard'!$A$16:$A$22</f>
            </numRef>
          </cat>
          <val>
            <numRef>
              <f>'Summary Dashboard'!$B$16:$B$22</f>
            </numRef>
          </val>
        </ser>
        <firstSliceAng val="0"/>
        <holeSize val="10"/>
      </doughnut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Budgeted vs Actual by Expense Category</a:t>
            </a:r>
          </a:p>
        </rich>
      </tx>
    </title>
    <plotArea>
      <barChart>
        <barDir val="col"/>
        <grouping val="clustered"/>
        <ser>
          <idx val="0"/>
          <order val="0"/>
          <tx>
            <strRef>
              <f>'Summary Dashboard'!B15</f>
            </strRef>
          </tx>
          <spPr>
            <a:solidFill xmlns:a="http://schemas.openxmlformats.org/drawingml/2006/main">
              <a:srgbClr val="1E293B"/>
            </a:solidFill>
            <a:ln xmlns:a="http://schemas.openxmlformats.org/drawingml/2006/main">
              <a:prstDash val="solid"/>
            </a:ln>
          </spPr>
          <cat>
            <numRef>
              <f>'Summary Dashboard'!$A$16:$A$22</f>
            </numRef>
          </cat>
          <val>
            <numRef>
              <f>'Summary Dashboard'!$B$16:$B$22</f>
            </numRef>
          </val>
        </ser>
        <ser>
          <idx val="1"/>
          <order val="1"/>
          <tx>
            <strRef>
              <f>'Summary Dashboard'!C15</f>
            </strRef>
          </tx>
          <spPr>
            <a:solidFill xmlns:a="http://schemas.openxmlformats.org/drawingml/2006/main">
              <a:srgbClr val="C8102E"/>
            </a:solidFill>
            <a:ln xmlns:a="http://schemas.openxmlformats.org/drawingml/2006/main">
              <a:prstDash val="solid"/>
            </a:ln>
          </spPr>
          <cat>
            <numRef>
              <f>'Summary Dashboard'!$A$16:$A$22</f>
            </numRef>
          </cat>
          <val>
            <numRef>
              <f>'Summary Dashboard'!$C$16:$C$22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CAD</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Cumulative Income vs Expenses by Date</a:t>
            </a:r>
          </a:p>
        </rich>
      </tx>
    </title>
    <plotArea>
      <lineChart>
        <grouping val="standard"/>
        <ser>
          <idx val="0"/>
          <order val="0"/>
          <tx>
            <strRef>
              <f>'Summary Dashboard'!B25</f>
            </strRef>
          </tx>
          <spPr>
            <a:ln xmlns:a="http://schemas.openxmlformats.org/drawingml/2006/main" w="25000">
              <a:solidFill>
                <a:srgbClr val="22C55E"/>
              </a:solidFill>
              <a:prstDash val="solid"/>
            </a:ln>
          </spPr>
          <marker>
            <symbol val="none"/>
            <spPr>
              <a:ln xmlns:a="http://schemas.openxmlformats.org/drawingml/2006/main">
                <a:prstDash val="solid"/>
              </a:ln>
            </spPr>
          </marker>
          <cat>
            <numRef>
              <f>'Summary Dashboard'!$A$26:$A$31</f>
            </numRef>
          </cat>
          <val>
            <numRef>
              <f>'Summary Dashboard'!$B$26:$B$31</f>
            </numRef>
          </val>
        </ser>
        <ser>
          <idx val="1"/>
          <order val="1"/>
          <tx>
            <strRef>
              <f>'Summary Dashboard'!C25</f>
            </strRef>
          </tx>
          <spPr>
            <a:ln xmlns:a="http://schemas.openxmlformats.org/drawingml/2006/main" w="25000">
              <a:solidFill>
                <a:srgbClr val="C8102E"/>
              </a:solidFill>
              <a:prstDash val="solid"/>
            </a:ln>
          </spPr>
          <marker>
            <symbol val="none"/>
            <spPr>
              <a:ln xmlns:a="http://schemas.openxmlformats.org/drawingml/2006/main">
                <a:prstDash val="solid"/>
              </a:ln>
            </spPr>
          </marker>
          <cat>
            <numRef>
              <f>'Summary Dashboard'!$A$26:$A$31</f>
            </numRef>
          </cat>
          <val>
            <numRef>
              <f>'Summary Dashboard'!$C$26:$C$31</f>
            </numRef>
          </val>
        </ser>
        <axId val="10"/>
        <axId val="100"/>
      </line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5</col>
      <colOff>0</colOff>
      <row>2</row>
      <rowOff>0</rowOff>
    </from>
    <ext cx="468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5</col>
      <colOff>0</colOff>
      <row>38</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3"/>
  <sheetViews>
    <sheetView workbookViewId="0">
      <pane ySplit="2" topLeftCell="A3" activePane="bottomLeft" state="frozen"/>
      <selection pane="bottomLeft" activeCell="A1" sqref="A1"/>
    </sheetView>
  </sheetViews>
  <sheetFormatPr baseColWidth="8" defaultRowHeight="15"/>
  <cols>
    <col width="14" customWidth="1" min="1" max="1"/>
    <col width="12" customWidth="1" min="2" max="2"/>
    <col width="11" customWidth="1" min="3" max="3"/>
    <col width="19" customWidth="1" min="4" max="4"/>
    <col width="32" customWidth="1" min="5" max="5"/>
    <col width="27" customWidth="1" min="6" max="6"/>
    <col width="17" customWidth="1" min="7" max="7"/>
    <col width="16" customWidth="1" min="8" max="8"/>
    <col width="13" customWidth="1" min="9" max="9"/>
    <col width="17" customWidth="1" min="10" max="10"/>
    <col width="12" customWidth="1" min="11" max="11"/>
    <col width="13" customWidth="1" min="12" max="12"/>
    <col width="14" customWidth="1" min="13" max="13"/>
    <col width="13" customWidth="1" min="14" max="14"/>
    <col width="14" customWidth="1" min="15" max="15"/>
    <col width="32" customWidth="1" min="16" max="16"/>
  </cols>
  <sheetData>
    <row r="1" ht="26" customHeight="1">
      <c r="A1" s="1" t="inlineStr">
        <is>
          <t>Canadian Hockey Tournament Budget Tracker — Winter Classic 2026</t>
        </is>
      </c>
    </row>
    <row r="2" ht="32" customHeight="1">
      <c r="A2" s="3" t="inlineStr">
        <is>
          <t>Transaction ID</t>
        </is>
      </c>
      <c r="B2" s="3" t="inlineStr">
        <is>
          <t>Date</t>
        </is>
      </c>
      <c r="C2" s="3" t="inlineStr">
        <is>
          <t>Type</t>
        </is>
      </c>
      <c r="D2" s="3" t="inlineStr">
        <is>
          <t>Category</t>
        </is>
      </c>
      <c r="E2" s="3" t="inlineStr">
        <is>
          <t>Description</t>
        </is>
      </c>
      <c r="F2" s="3" t="inlineStr">
        <is>
          <t>Supplier / Payer</t>
        </is>
      </c>
      <c r="G2" s="3" t="inlineStr">
        <is>
          <t>City / Province</t>
        </is>
      </c>
      <c r="H2" s="3" t="inlineStr">
        <is>
          <t>Payment Method</t>
        </is>
      </c>
      <c r="I2" s="3" t="inlineStr">
        <is>
          <t>GST/HST Rate</t>
        </is>
      </c>
      <c r="J2" s="3" t="inlineStr">
        <is>
          <t>Amount Before Tax</t>
        </is>
      </c>
      <c r="K2" s="3" t="inlineStr">
        <is>
          <t>GST/HST</t>
        </is>
      </c>
      <c r="L2" s="3" t="inlineStr">
        <is>
          <t>Total CAD</t>
        </is>
      </c>
      <c r="M2" s="3" t="inlineStr">
        <is>
          <t>Budgeted CAD</t>
        </is>
      </c>
      <c r="N2" s="3" t="inlineStr">
        <is>
          <t>Variance CAD</t>
        </is>
      </c>
      <c r="O2" s="3" t="inlineStr">
        <is>
          <t>Status</t>
        </is>
      </c>
      <c r="P2" s="3" t="inlineStr">
        <is>
          <t>Notes</t>
        </is>
      </c>
    </row>
    <row r="3">
      <c r="A3" s="4" t="inlineStr">
        <is>
          <t>TRN-001</t>
        </is>
      </c>
      <c r="B3" s="5" t="n">
        <v>46059</v>
      </c>
      <c r="C3" s="4" t="inlineStr">
        <is>
          <t>Income</t>
        </is>
      </c>
      <c r="D3" s="6" t="inlineStr">
        <is>
          <t>Team Registration</t>
        </is>
      </c>
      <c r="E3" s="6" t="inlineStr">
        <is>
          <t>U15 division entry fee</t>
        </is>
      </c>
      <c r="F3" s="6" t="inlineStr">
        <is>
          <t>Toronto Blades</t>
        </is>
      </c>
      <c r="G3" s="6" t="inlineStr">
        <is>
          <t>Toronto, ON</t>
        </is>
      </c>
      <c r="H3" s="4" t="inlineStr">
        <is>
          <t>E-Transfer</t>
        </is>
      </c>
      <c r="I3" s="7" t="n">
        <v>0.13</v>
      </c>
      <c r="J3" s="8" t="n">
        <v>2500</v>
      </c>
      <c r="K3" s="9">
        <f>J3*I3</f>
        <v/>
      </c>
      <c r="L3" s="9">
        <f>J3+K3</f>
        <v/>
      </c>
      <c r="M3" s="8" t="n">
        <v>2800</v>
      </c>
      <c r="N3" s="9">
        <f>IF(C3="Income",L3-M3,M3-L3)</f>
        <v/>
      </c>
      <c r="O3" s="10">
        <f>IF(N3&gt;=0,"On budget","Over budget")</f>
        <v/>
      </c>
      <c r="P3" s="6" t="inlineStr">
        <is>
          <t>Early-bird rate applied</t>
        </is>
      </c>
    </row>
    <row r="4">
      <c r="A4" s="4" t="inlineStr">
        <is>
          <t>TRN-002</t>
        </is>
      </c>
      <c r="B4" s="5" t="n">
        <v>46060</v>
      </c>
      <c r="C4" s="4" t="inlineStr">
        <is>
          <t>Income</t>
        </is>
      </c>
      <c r="D4" s="6" t="inlineStr">
        <is>
          <t>Team Registration</t>
        </is>
      </c>
      <c r="E4" s="6" t="inlineStr">
        <is>
          <t>U18 division entry fee</t>
        </is>
      </c>
      <c r="F4" s="6" t="inlineStr">
        <is>
          <t>Montreal Canadiens Youth</t>
        </is>
      </c>
      <c r="G4" s="6" t="inlineStr">
        <is>
          <t>Montreal, QC</t>
        </is>
      </c>
      <c r="H4" s="4" t="inlineStr">
        <is>
          <t>Cheque</t>
        </is>
      </c>
      <c r="I4" s="7" t="n">
        <v>0.14975</v>
      </c>
      <c r="J4" s="8" t="n">
        <v>2500</v>
      </c>
      <c r="K4" s="11">
        <f>J4*I4</f>
        <v/>
      </c>
      <c r="L4" s="11">
        <f>J4+K4</f>
        <v/>
      </c>
      <c r="M4" s="8" t="n">
        <v>2850</v>
      </c>
      <c r="N4" s="11">
        <f>IF(C4="Income",L4-M4,M4-L4)</f>
        <v/>
      </c>
      <c r="O4" s="12">
        <f>IF(N4&gt;=0,"On budget","Over budget")</f>
        <v/>
      </c>
      <c r="P4" s="6" t="inlineStr">
        <is>
          <t>GST+QST combined planning rate</t>
        </is>
      </c>
    </row>
    <row r="5">
      <c r="A5" s="4" t="inlineStr">
        <is>
          <t>TRN-003</t>
        </is>
      </c>
      <c r="B5" s="5" t="n">
        <v>46060</v>
      </c>
      <c r="C5" s="4" t="inlineStr">
        <is>
          <t>Income</t>
        </is>
      </c>
      <c r="D5" s="6" t="inlineStr">
        <is>
          <t>Sponsorship</t>
        </is>
      </c>
      <c r="E5" s="6" t="inlineStr">
        <is>
          <t>Title sponsor package</t>
        </is>
      </c>
      <c r="F5" s="6" t="inlineStr">
        <is>
          <t>Northern Lights Realty</t>
        </is>
      </c>
      <c r="G5" s="6" t="inlineStr">
        <is>
          <t>Calgary, AB</t>
        </is>
      </c>
      <c r="H5" s="4" t="inlineStr">
        <is>
          <t>Online Payment</t>
        </is>
      </c>
      <c r="I5" s="7" t="n">
        <v>0.05</v>
      </c>
      <c r="J5" s="8" t="n">
        <v>3000</v>
      </c>
      <c r="K5" s="9">
        <f>J5*I5</f>
        <v/>
      </c>
      <c r="L5" s="9">
        <f>J5+K5</f>
        <v/>
      </c>
      <c r="M5" s="8" t="n">
        <v>3000</v>
      </c>
      <c r="N5" s="9">
        <f>IF(C5="Income",L5-M5,M5-L5)</f>
        <v/>
      </c>
      <c r="O5" s="10">
        <f>IF(N5&gt;=0,"On budget","Over budget")</f>
        <v/>
      </c>
      <c r="P5" s="6" t="inlineStr">
        <is>
          <t>Signed agreement on file</t>
        </is>
      </c>
    </row>
    <row r="6">
      <c r="A6" s="4" t="inlineStr">
        <is>
          <t>TRN-004</t>
        </is>
      </c>
      <c r="B6" s="5" t="n">
        <v>46061</v>
      </c>
      <c r="C6" s="4" t="inlineStr">
        <is>
          <t>Expense</t>
        </is>
      </c>
      <c r="D6" s="6" t="inlineStr">
        <is>
          <t>Ice Rental</t>
        </is>
      </c>
      <c r="E6" s="6" t="inlineStr">
        <is>
          <t>Arena ice time — 3 days</t>
        </is>
      </c>
      <c r="F6" s="6" t="inlineStr">
        <is>
          <t>Lakeshore Community Arena</t>
        </is>
      </c>
      <c r="G6" s="6" t="inlineStr">
        <is>
          <t>Toronto, ON</t>
        </is>
      </c>
      <c r="H6" s="4" t="inlineStr">
        <is>
          <t>Credit Card</t>
        </is>
      </c>
      <c r="I6" s="7" t="n">
        <v>0.13</v>
      </c>
      <c r="J6" s="8" t="n">
        <v>2400</v>
      </c>
      <c r="K6" s="11">
        <f>J6*I6</f>
        <v/>
      </c>
      <c r="L6" s="11">
        <f>J6+K6</f>
        <v/>
      </c>
      <c r="M6" s="8" t="n">
        <v>2400</v>
      </c>
      <c r="N6" s="11">
        <f>IF(C6="Income",L6-M6,M6-L6)</f>
        <v/>
      </c>
      <c r="O6" s="12">
        <f>IF(N6&gt;=0,"On budget","Over budget")</f>
        <v/>
      </c>
      <c r="P6" s="6" t="inlineStr">
        <is>
          <t>Invoice LA-2211</t>
        </is>
      </c>
    </row>
    <row r="7">
      <c r="A7" s="4" t="inlineStr">
        <is>
          <t>TRN-005</t>
        </is>
      </c>
      <c r="B7" s="5" t="n">
        <v>46061</v>
      </c>
      <c r="C7" s="4" t="inlineStr">
        <is>
          <t>Expense</t>
        </is>
      </c>
      <c r="D7" s="6" t="inlineStr">
        <is>
          <t>Referees</t>
        </is>
      </c>
      <c r="E7" s="6" t="inlineStr">
        <is>
          <t>Certified officials — 12 games</t>
        </is>
      </c>
      <c r="F7" s="6" t="inlineStr">
        <is>
          <t>Hockey Alberta Officials</t>
        </is>
      </c>
      <c r="G7" s="6" t="inlineStr">
        <is>
          <t>Edmonton, AB</t>
        </is>
      </c>
      <c r="H7" s="4" t="inlineStr">
        <is>
          <t>E-Transfer</t>
        </is>
      </c>
      <c r="I7" s="7" t="n">
        <v>0.05</v>
      </c>
      <c r="J7" s="8" t="n">
        <v>1200</v>
      </c>
      <c r="K7" s="9">
        <f>J7*I7</f>
        <v/>
      </c>
      <c r="L7" s="9">
        <f>J7+K7</f>
        <v/>
      </c>
      <c r="M7" s="8" t="n">
        <v>1300</v>
      </c>
      <c r="N7" s="9">
        <f>IF(C7="Income",L7-M7,M7-L7)</f>
        <v/>
      </c>
      <c r="O7" s="10">
        <f>IF(N7&gt;=0,"On budget","Over budget")</f>
        <v/>
      </c>
      <c r="P7" s="6" t="inlineStr">
        <is>
          <t>Includes travel stipend</t>
        </is>
      </c>
    </row>
    <row r="8">
      <c r="A8" s="4" t="inlineStr">
        <is>
          <t>TRN-006</t>
        </is>
      </c>
      <c r="B8" s="5" t="n">
        <v>46062</v>
      </c>
      <c r="C8" s="4" t="inlineStr">
        <is>
          <t>Expense</t>
        </is>
      </c>
      <c r="D8" s="6" t="inlineStr">
        <is>
          <t>Medics</t>
        </is>
      </c>
      <c r="E8" s="6" t="inlineStr">
        <is>
          <t>On-site medical coverage</t>
        </is>
      </c>
      <c r="F8" s="6" t="inlineStr">
        <is>
          <t>Ottawa Sport Medicine</t>
        </is>
      </c>
      <c r="G8" s="6" t="inlineStr">
        <is>
          <t>Ottawa, ON</t>
        </is>
      </c>
      <c r="H8" s="4" t="inlineStr">
        <is>
          <t>Credit Card</t>
        </is>
      </c>
      <c r="I8" s="7" t="n">
        <v>0.13</v>
      </c>
      <c r="J8" s="8" t="n">
        <v>850</v>
      </c>
      <c r="K8" s="11">
        <f>J8*I8</f>
        <v/>
      </c>
      <c r="L8" s="11">
        <f>J8+K8</f>
        <v/>
      </c>
      <c r="M8" s="8" t="n">
        <v>900</v>
      </c>
      <c r="N8" s="11">
        <f>IF(C8="Income",L8-M8,M8-L8)</f>
        <v/>
      </c>
      <c r="O8" s="12">
        <f>IF(N8&gt;=0,"On budget","Over budget")</f>
        <v/>
      </c>
      <c r="P8" s="6" t="inlineStr">
        <is>
          <t>Two paramedics per day</t>
        </is>
      </c>
    </row>
    <row r="9">
      <c r="A9" s="4" t="inlineStr">
        <is>
          <t>TRN-007</t>
        </is>
      </c>
      <c r="B9" s="5" t="n">
        <v>46062</v>
      </c>
      <c r="C9" s="4" t="inlineStr">
        <is>
          <t>Expense</t>
        </is>
      </c>
      <c r="D9" s="6" t="inlineStr">
        <is>
          <t>Awards</t>
        </is>
      </c>
      <c r="E9" s="6" t="inlineStr">
        <is>
          <t>Trophies, medals and engraving</t>
        </is>
      </c>
      <c r="F9" s="6" t="inlineStr">
        <is>
          <t>Maple Leaf Engraving</t>
        </is>
      </c>
      <c r="G9" s="6" t="inlineStr">
        <is>
          <t>Winnipeg, MB</t>
        </is>
      </c>
      <c r="H9" s="4" t="inlineStr">
        <is>
          <t>E-Transfer</t>
        </is>
      </c>
      <c r="I9" s="7" t="n">
        <v>0.05</v>
      </c>
      <c r="J9" s="8" t="n">
        <v>625</v>
      </c>
      <c r="K9" s="9">
        <f>J9*I9</f>
        <v/>
      </c>
      <c r="L9" s="9">
        <f>J9+K9</f>
        <v/>
      </c>
      <c r="M9" s="8" t="n">
        <v>700</v>
      </c>
      <c r="N9" s="9">
        <f>IF(C9="Income",L9-M9,M9-L9)</f>
        <v/>
      </c>
      <c r="O9" s="10">
        <f>IF(N9&gt;=0,"On budget","Over budget")</f>
        <v/>
      </c>
      <c r="P9" s="6" t="inlineStr">
        <is>
          <t>Engraving included</t>
        </is>
      </c>
    </row>
    <row r="10">
      <c r="A10" s="4" t="inlineStr">
        <is>
          <t>TRN-008</t>
        </is>
      </c>
      <c r="B10" s="5" t="n">
        <v>46063</v>
      </c>
      <c r="C10" s="4" t="inlineStr">
        <is>
          <t>Expense</t>
        </is>
      </c>
      <c r="D10" s="6" t="inlineStr">
        <is>
          <t>Hotel</t>
        </is>
      </c>
      <c r="E10" s="6" t="inlineStr">
        <is>
          <t>Team accommodation block</t>
        </is>
      </c>
      <c r="F10" s="6" t="inlineStr">
        <is>
          <t>Harbourfront Suites</t>
        </is>
      </c>
      <c r="G10" s="6" t="inlineStr">
        <is>
          <t>Halifax, NS</t>
        </is>
      </c>
      <c r="H10" s="4" t="inlineStr">
        <is>
          <t>Credit Card</t>
        </is>
      </c>
      <c r="I10" s="7" t="n">
        <v>0.15</v>
      </c>
      <c r="J10" s="8" t="n">
        <v>1450</v>
      </c>
      <c r="K10" s="11">
        <f>J10*I10</f>
        <v/>
      </c>
      <c r="L10" s="11">
        <f>J10+K10</f>
        <v/>
      </c>
      <c r="M10" s="8" t="n">
        <v>1600</v>
      </c>
      <c r="N10" s="11">
        <f>IF(C10="Income",L10-M10,M10-L10)</f>
        <v/>
      </c>
      <c r="O10" s="12">
        <f>IF(N10&gt;=0,"On budget","Over budget")</f>
        <v/>
      </c>
      <c r="P10" s="6" t="inlineStr">
        <is>
          <t>12 rooms, 2 nights</t>
        </is>
      </c>
    </row>
    <row r="11">
      <c r="A11" s="4" t="inlineStr">
        <is>
          <t>TRN-009</t>
        </is>
      </c>
      <c r="B11" s="5" t="n">
        <v>46063</v>
      </c>
      <c r="C11" s="4" t="inlineStr">
        <is>
          <t>Expense</t>
        </is>
      </c>
      <c r="D11" s="6" t="inlineStr">
        <is>
          <t>Meals</t>
        </is>
      </c>
      <c r="E11" s="6" t="inlineStr">
        <is>
          <t>Player banquet and team lunches</t>
        </is>
      </c>
      <c r="F11" s="6" t="inlineStr">
        <is>
          <t>Pacific Catering</t>
        </is>
      </c>
      <c r="G11" s="6" t="inlineStr">
        <is>
          <t>Vancouver, BC</t>
        </is>
      </c>
      <c r="H11" s="4" t="inlineStr">
        <is>
          <t>Online Payment</t>
        </is>
      </c>
      <c r="I11" s="7" t="n">
        <v>0.05</v>
      </c>
      <c r="J11" s="8" t="n">
        <v>1100</v>
      </c>
      <c r="K11" s="9">
        <f>J11*I11</f>
        <v/>
      </c>
      <c r="L11" s="9">
        <f>J11+K11</f>
        <v/>
      </c>
      <c r="M11" s="8" t="n">
        <v>1200</v>
      </c>
      <c r="N11" s="9">
        <f>IF(C11="Income",L11-M11,M11-L11)</f>
        <v/>
      </c>
      <c r="O11" s="10">
        <f>IF(N11&gt;=0,"On budget","Over budget")</f>
        <v/>
      </c>
      <c r="P11" s="6" t="inlineStr">
        <is>
          <t>120 covers</t>
        </is>
      </c>
    </row>
    <row r="12">
      <c r="A12" s="4" t="inlineStr">
        <is>
          <t>TRN-010</t>
        </is>
      </c>
      <c r="B12" s="5" t="n">
        <v>46064</v>
      </c>
      <c r="C12" s="4" t="inlineStr">
        <is>
          <t>Expense</t>
        </is>
      </c>
      <c r="D12" s="6" t="inlineStr">
        <is>
          <t>Marketing</t>
        </is>
      </c>
      <c r="E12" s="6" t="inlineStr">
        <is>
          <t>Posters, programmes and social ads</t>
        </is>
      </c>
      <c r="F12" s="6" t="inlineStr">
        <is>
          <t>Capital Print &amp; Digital</t>
        </is>
      </c>
      <c r="G12" s="6" t="inlineStr">
        <is>
          <t>Ottawa, ON</t>
        </is>
      </c>
      <c r="H12" s="4" t="inlineStr">
        <is>
          <t>Cheque</t>
        </is>
      </c>
      <c r="I12" s="7" t="n">
        <v>0.13</v>
      </c>
      <c r="J12" s="8" t="n">
        <v>700</v>
      </c>
      <c r="K12" s="11">
        <f>J12*I12</f>
        <v/>
      </c>
      <c r="L12" s="11">
        <f>J12+K12</f>
        <v/>
      </c>
      <c r="M12" s="8" t="n">
        <v>800</v>
      </c>
      <c r="N12" s="11">
        <f>IF(C12="Income",L12-M12,M12-L12)</f>
        <v/>
      </c>
      <c r="O12" s="12">
        <f>IF(N12&gt;=0,"On budget","Over budget")</f>
        <v/>
      </c>
      <c r="P12" s="6" t="inlineStr">
        <is>
          <t>Includes 500 programmes</t>
        </is>
      </c>
    </row>
    <row r="13">
      <c r="A13" s="13" t="inlineStr">
        <is>
          <t>TOTALS</t>
        </is>
      </c>
      <c r="B13" s="14" t="n"/>
      <c r="C13" s="14" t="n"/>
      <c r="D13" s="14" t="n"/>
      <c r="E13" s="14" t="n"/>
      <c r="F13" s="14" t="n"/>
      <c r="G13" s="14" t="n"/>
      <c r="H13" s="14" t="n"/>
      <c r="I13" s="14" t="n"/>
      <c r="J13" s="15">
        <f>SUM(J3:J12)</f>
        <v/>
      </c>
      <c r="K13" s="15">
        <f>SUM(K3:K12)</f>
        <v/>
      </c>
      <c r="L13" s="15">
        <f>SUM(L3:L12)</f>
        <v/>
      </c>
      <c r="M13" s="15">
        <f>SUM(M3:M12)</f>
        <v/>
      </c>
      <c r="N13" s="15">
        <f>SUM(N3:N12)</f>
        <v/>
      </c>
      <c r="O13" s="14" t="n"/>
      <c r="P13" s="14" t="n"/>
    </row>
  </sheetData>
  <mergeCells count="1">
    <mergeCell ref="A1:P1"/>
  </mergeCells>
  <conditionalFormatting sqref="N3:N13">
    <cfRule type="cellIs" priority="1" operator="lessThan" dxfId="0">
      <formula>0</formula>
    </cfRule>
    <cfRule type="cellIs" priority="2" operator="greaterThanOrEqual" dxfId="1">
      <formula>0</formula>
    </cfRule>
  </conditionalFormatting>
  <conditionalFormatting sqref="O3:O12">
    <cfRule type="expression" priority="3" dxfId="2" stopIfTrue="1">
      <formula>$O3="Over budget"</formula>
    </cfRule>
    <cfRule type="expression" priority="4" dxfId="3" stopIfTrue="1">
      <formula>$O3="On budget"</formula>
    </cfRule>
  </conditionalFormatting>
  <dataValidations count="3">
    <dataValidation sqref="C3:C12" showErrorMessage="1" showInputMessage="1" allowBlank="1" type="list">
      <formula1>"Income,Expense"</formula1>
    </dataValidation>
    <dataValidation sqref="D3:D12" showErrorMessage="1" showInputMessage="1" allowBlank="1" type="list">
      <formula1>"Team Registration,Sponsorship,Ice Rental,Referees,Medics,Awards,Hotel,Meals,Marketing,Equipment,Administration"</formula1>
    </dataValidation>
    <dataValidation sqref="H3:H12" showErrorMessage="1" showInputMessage="1" allowBlank="1" type="list">
      <formula1>"E-Transfer,Cheque,Credit Card,Cash,Online Payment"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28" customWidth="1" min="1" max="1"/>
    <col width="16" customWidth="1" min="2" max="2"/>
    <col width="16" customWidth="1" min="3" max="3"/>
    <col width="15" customWidth="1" min="4" max="4"/>
    <col width="3" customWidth="1" min="5" max="5"/>
  </cols>
  <sheetData>
    <row r="1" ht="26" customHeight="1">
      <c r="A1" s="1" t="inlineStr">
        <is>
          <t>Tournament Summary Dashboard — Winter Classic 2026</t>
        </is>
      </c>
    </row>
    <row r="2"/>
    <row r="3">
      <c r="A3" s="16" t="inlineStr">
        <is>
          <t>Metric</t>
        </is>
      </c>
      <c r="B3" s="16" t="inlineStr">
        <is>
          <t>Value</t>
        </is>
      </c>
    </row>
    <row r="4">
      <c r="A4" s="17" t="inlineStr">
        <is>
          <t>Total Income</t>
        </is>
      </c>
      <c r="B4" s="18">
        <f>SUMIF('Budget Tracker'!C:C,"Income",'Budget Tracker'!L:L)</f>
        <v/>
      </c>
    </row>
    <row r="5">
      <c r="A5" s="19" t="inlineStr">
        <is>
          <t>Total Expenses</t>
        </is>
      </c>
      <c r="B5" s="20">
        <f>SUMIF('Budget Tracker'!C:C,"Expense",'Budget Tracker'!L:L)</f>
        <v/>
      </c>
    </row>
    <row r="6">
      <c r="A6" s="17" t="inlineStr">
        <is>
          <t>Net Surplus / Deficit</t>
        </is>
      </c>
      <c r="B6" s="18">
        <f>B4-B5</f>
        <v/>
      </c>
    </row>
    <row r="7">
      <c r="A7" s="19" t="inlineStr">
        <is>
          <t>Total GST/HST</t>
        </is>
      </c>
      <c r="B7" s="20">
        <f>SUM('Budget Tracker'!K3:K12)</f>
        <v/>
      </c>
    </row>
    <row r="8">
      <c r="A8" s="17" t="inlineStr">
        <is>
          <t>Budgeted Expenses</t>
        </is>
      </c>
      <c r="B8" s="18">
        <f>SUMIF('Budget Tracker'!C:C,"Expense",'Budget Tracker'!M:M)</f>
        <v/>
      </c>
    </row>
    <row r="9">
      <c r="A9" s="19" t="inlineStr">
        <is>
          <t>Actual Expenses</t>
        </is>
      </c>
      <c r="B9" s="20">
        <f>B5</f>
        <v/>
      </c>
    </row>
    <row r="10">
      <c r="A10" s="17" t="inlineStr">
        <is>
          <t>Expense Variance</t>
        </is>
      </c>
      <c r="B10" s="18">
        <f>B8-B9</f>
        <v/>
      </c>
    </row>
    <row r="11">
      <c r="A11" s="19" t="inlineStr">
        <is>
          <t>Average Expense</t>
        </is>
      </c>
      <c r="B11" s="20">
        <f>IFERROR(AVERAGEIF('Budget Tracker'!C:C,"Expense",'Budget Tracker'!L:L),0)</f>
        <v/>
      </c>
    </row>
    <row r="12">
      <c r="A12" s="17" t="inlineStr">
        <is>
          <t>Number of Transactions</t>
        </is>
      </c>
      <c r="B12" s="21">
        <f>COUNTA('Budget Tracker'!A3:A12)</f>
        <v/>
      </c>
    </row>
    <row r="13">
      <c r="A13" s="19" t="inlineStr">
        <is>
          <t>Over-Budget Items</t>
        </is>
      </c>
      <c r="B13" s="22">
        <f>COUNTIF('Budget Tracker'!O:O,"Over budget")</f>
        <v/>
      </c>
    </row>
    <row r="14"/>
    <row r="15">
      <c r="A15" s="16" t="inlineStr">
        <is>
          <t>Expense Category</t>
        </is>
      </c>
      <c r="B15" s="16" t="inlineStr">
        <is>
          <t>Actual CAD</t>
        </is>
      </c>
      <c r="C15" s="16" t="inlineStr">
        <is>
          <t>Budgeted CAD</t>
        </is>
      </c>
      <c r="D15" s="16" t="inlineStr">
        <is>
          <t>% of Expenses</t>
        </is>
      </c>
    </row>
    <row r="16">
      <c r="A16" s="17" t="inlineStr">
        <is>
          <t>Ice Rental</t>
        </is>
      </c>
      <c r="B16" s="9">
        <f>SUMIFS('Budget Tracker'!$L$3:$L$12,'Budget Tracker'!$D$3:$D$12,A16,'Budget Tracker'!$C$3:$C$12,"Expense")</f>
        <v/>
      </c>
      <c r="C16" s="9">
        <f>IFERROR(VLOOKUP(A16,'Instructions'!$H$5:$I$14,2,FALSE),0)</f>
        <v/>
      </c>
      <c r="D16" s="23">
        <f>IFERROR(B16/$B$5,0)</f>
        <v/>
      </c>
    </row>
    <row r="17">
      <c r="A17" s="19" t="inlineStr">
        <is>
          <t>Referees</t>
        </is>
      </c>
      <c r="B17" s="24">
        <f>SUMIFS('Budget Tracker'!$L$3:$L$12,'Budget Tracker'!$D$3:$D$12,A17,'Budget Tracker'!$C$3:$C$12,"Expense")</f>
        <v/>
      </c>
      <c r="C17" s="24">
        <f>IFERROR(VLOOKUP(A17,'Instructions'!$H$5:$I$14,2,FALSE),0)</f>
        <v/>
      </c>
      <c r="D17" s="25">
        <f>IFERROR(B17/$B$5,0)</f>
        <v/>
      </c>
    </row>
    <row r="18">
      <c r="A18" s="17" t="inlineStr">
        <is>
          <t>Medics</t>
        </is>
      </c>
      <c r="B18" s="9">
        <f>SUMIFS('Budget Tracker'!$L$3:$L$12,'Budget Tracker'!$D$3:$D$12,A18,'Budget Tracker'!$C$3:$C$12,"Expense")</f>
        <v/>
      </c>
      <c r="C18" s="9">
        <f>IFERROR(VLOOKUP(A18,'Instructions'!$H$5:$I$14,2,FALSE),0)</f>
        <v/>
      </c>
      <c r="D18" s="23">
        <f>IFERROR(B18/$B$5,0)</f>
        <v/>
      </c>
    </row>
    <row r="19">
      <c r="A19" s="19" t="inlineStr">
        <is>
          <t>Awards</t>
        </is>
      </c>
      <c r="B19" s="24">
        <f>SUMIFS('Budget Tracker'!$L$3:$L$12,'Budget Tracker'!$D$3:$D$12,A19,'Budget Tracker'!$C$3:$C$12,"Expense")</f>
        <v/>
      </c>
      <c r="C19" s="24">
        <f>IFERROR(VLOOKUP(A19,'Instructions'!$H$5:$I$14,2,FALSE),0)</f>
        <v/>
      </c>
      <c r="D19" s="25">
        <f>IFERROR(B19/$B$5,0)</f>
        <v/>
      </c>
    </row>
    <row r="20">
      <c r="A20" s="17" t="inlineStr">
        <is>
          <t>Hotel</t>
        </is>
      </c>
      <c r="B20" s="9">
        <f>SUMIFS('Budget Tracker'!$L$3:$L$12,'Budget Tracker'!$D$3:$D$12,A20,'Budget Tracker'!$C$3:$C$12,"Expense")</f>
        <v/>
      </c>
      <c r="C20" s="9">
        <f>IFERROR(VLOOKUP(A20,'Instructions'!$H$5:$I$14,2,FALSE),0)</f>
        <v/>
      </c>
      <c r="D20" s="23">
        <f>IFERROR(B20/$B$5,0)</f>
        <v/>
      </c>
    </row>
    <row r="21">
      <c r="A21" s="19" t="inlineStr">
        <is>
          <t>Meals</t>
        </is>
      </c>
      <c r="B21" s="24">
        <f>SUMIFS('Budget Tracker'!$L$3:$L$12,'Budget Tracker'!$D$3:$D$12,A21,'Budget Tracker'!$C$3:$C$12,"Expense")</f>
        <v/>
      </c>
      <c r="C21" s="24">
        <f>IFERROR(VLOOKUP(A21,'Instructions'!$H$5:$I$14,2,FALSE),0)</f>
        <v/>
      </c>
      <c r="D21" s="25">
        <f>IFERROR(B21/$B$5,0)</f>
        <v/>
      </c>
    </row>
    <row r="22">
      <c r="A22" s="17" t="inlineStr">
        <is>
          <t>Marketing</t>
        </is>
      </c>
      <c r="B22" s="9">
        <f>SUMIFS('Budget Tracker'!$L$3:$L$12,'Budget Tracker'!$D$3:$D$12,A22,'Budget Tracker'!$C$3:$C$12,"Expense")</f>
        <v/>
      </c>
      <c r="C22" s="9">
        <f>IFERROR(VLOOKUP(A22,'Instructions'!$H$5:$I$14,2,FALSE),0)</f>
        <v/>
      </c>
      <c r="D22" s="23">
        <f>IFERROR(B22/$B$5,0)</f>
        <v/>
      </c>
    </row>
    <row r="23"/>
    <row r="24">
      <c r="A24" s="26" t="inlineStr">
        <is>
          <t>Cumulative Income and Expenses by Date</t>
        </is>
      </c>
      <c r="B24" s="27" t="n"/>
      <c r="C24" s="27" t="n"/>
    </row>
    <row r="25">
      <c r="A25" s="28" t="inlineStr">
        <is>
          <t>Date</t>
        </is>
      </c>
      <c r="B25" s="28" t="inlineStr">
        <is>
          <t>Cumulative Income</t>
        </is>
      </c>
      <c r="C25" s="28" t="inlineStr">
        <is>
          <t>Cumulative Expenses</t>
        </is>
      </c>
    </row>
    <row r="26">
      <c r="A26" s="29" t="n">
        <v>46059</v>
      </c>
      <c r="B26" s="9">
        <f>SUMIFS('Budget Tracker'!$L$3:$L$12,'Budget Tracker'!$C$3:$C$12,"Income",'Budget Tracker'!$B$3:$B$12,"&lt;="&amp;A26)</f>
        <v/>
      </c>
      <c r="C26" s="9">
        <f>SUMIFS('Budget Tracker'!$L$3:$L$12,'Budget Tracker'!$C$3:$C$12,"Expense",'Budget Tracker'!$B$3:$B$12,"&lt;="&amp;A26)</f>
        <v/>
      </c>
    </row>
    <row r="27">
      <c r="A27" s="30" t="n">
        <v>46060</v>
      </c>
      <c r="B27" s="24">
        <f>SUMIFS('Budget Tracker'!$L$3:$L$12,'Budget Tracker'!$C$3:$C$12,"Income",'Budget Tracker'!$B$3:$B$12,"&lt;="&amp;A27)</f>
        <v/>
      </c>
      <c r="C27" s="24">
        <f>SUMIFS('Budget Tracker'!$L$3:$L$12,'Budget Tracker'!$C$3:$C$12,"Expense",'Budget Tracker'!$B$3:$B$12,"&lt;="&amp;A27)</f>
        <v/>
      </c>
    </row>
    <row r="28">
      <c r="A28" s="29" t="n">
        <v>46061</v>
      </c>
      <c r="B28" s="9">
        <f>SUMIFS('Budget Tracker'!$L$3:$L$12,'Budget Tracker'!$C$3:$C$12,"Income",'Budget Tracker'!$B$3:$B$12,"&lt;="&amp;A28)</f>
        <v/>
      </c>
      <c r="C28" s="9">
        <f>SUMIFS('Budget Tracker'!$L$3:$L$12,'Budget Tracker'!$C$3:$C$12,"Expense",'Budget Tracker'!$B$3:$B$12,"&lt;="&amp;A28)</f>
        <v/>
      </c>
    </row>
    <row r="29">
      <c r="A29" s="30" t="n">
        <v>46062</v>
      </c>
      <c r="B29" s="24">
        <f>SUMIFS('Budget Tracker'!$L$3:$L$12,'Budget Tracker'!$C$3:$C$12,"Income",'Budget Tracker'!$B$3:$B$12,"&lt;="&amp;A29)</f>
        <v/>
      </c>
      <c r="C29" s="24">
        <f>SUMIFS('Budget Tracker'!$L$3:$L$12,'Budget Tracker'!$C$3:$C$12,"Expense",'Budget Tracker'!$B$3:$B$12,"&lt;="&amp;A29)</f>
        <v/>
      </c>
    </row>
    <row r="30">
      <c r="A30" s="29" t="n">
        <v>46063</v>
      </c>
      <c r="B30" s="9">
        <f>SUMIFS('Budget Tracker'!$L$3:$L$12,'Budget Tracker'!$C$3:$C$12,"Income",'Budget Tracker'!$B$3:$B$12,"&lt;="&amp;A30)</f>
        <v/>
      </c>
      <c r="C30" s="9">
        <f>SUMIFS('Budget Tracker'!$L$3:$L$12,'Budget Tracker'!$C$3:$C$12,"Expense",'Budget Tracker'!$B$3:$B$12,"&lt;="&amp;A30)</f>
        <v/>
      </c>
    </row>
    <row r="31">
      <c r="A31" s="30" t="n">
        <v>46064</v>
      </c>
      <c r="B31" s="24">
        <f>SUMIFS('Budget Tracker'!$L$3:$L$12,'Budget Tracker'!$C$3:$C$12,"Income",'Budget Tracker'!$B$3:$B$12,"&lt;="&amp;A31)</f>
        <v/>
      </c>
      <c r="C31" s="24">
        <f>SUMIFS('Budget Tracker'!$L$3:$L$12,'Budget Tracker'!$C$3:$C$12,"Expense",'Budget Tracker'!$B$3:$B$12,"&lt;="&amp;A31)</f>
        <v/>
      </c>
    </row>
  </sheetData>
  <mergeCells count="1">
    <mergeCell ref="A1:D1"/>
  </mergeCells>
  <conditionalFormatting sqref="B6">
    <cfRule type="cellIs" priority="1" operator="lessThan" dxfId="0">
      <formula>0</formula>
    </cfRule>
    <cfRule type="cellIs" priority="2" operator="greaterThanOrEqual" dxfId="1">
      <formula>0</formula>
    </cfRule>
  </conditionalFormatting>
  <conditionalFormatting sqref="B10">
    <cfRule type="cellIs" priority="3" operator="lessThan" dxfId="0">
      <formula>0</formula>
    </cfRule>
    <cfRule type="cellIs" priority="4" operator="greaterThanOrEqual" dxfId="1">
      <formula>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105" customWidth="1" min="1" max="1"/>
    <col width="3" customWidth="1" min="2" max="2"/>
    <col width="3" customWidth="1" min="3" max="3"/>
    <col width="3" customWidth="1" min="4" max="4"/>
    <col width="3" customWidth="1" min="5" max="5"/>
    <col width="3" customWidth="1" min="6" max="6"/>
    <col width="3" customWidth="1" min="7" max="7"/>
    <col width="24" customWidth="1" min="8" max="8"/>
    <col width="22" customWidth="1" min="9" max="9"/>
  </cols>
  <sheetData>
    <row r="1" ht="26" customHeight="1">
      <c r="A1" s="1" t="inlineStr">
        <is>
          <t>Instructions &amp; Canadian Tax Notes</t>
        </is>
      </c>
    </row>
    <row r="2"/>
    <row r="3" ht="20" customHeight="1">
      <c r="A3" s="31" t="inlineStr">
        <is>
          <t>Workbook Purpose</t>
        </is>
      </c>
    </row>
    <row r="4" ht="46" customHeight="1">
      <c r="A4" s="32" t="inlineStr">
        <is>
          <t>This workbook helps a Canadian minor-hockey tournament committee track planned versus actual income and expenses in Canadian dollars (CAD). It covers registration revenue, sponsorships and all tournament costs such as ice rental, referees, medics, awards, hotel, meals and marketing.</t>
        </is>
      </c>
      <c r="H4" s="28" t="inlineStr">
        <is>
          <t>Expense Category</t>
        </is>
      </c>
      <c r="I4" s="28" t="inlineStr">
        <is>
          <t>Planned Budget (CAD)</t>
        </is>
      </c>
    </row>
    <row r="5" ht="20" customHeight="1">
      <c r="A5" s="31" t="inlineStr">
        <is>
          <t>How to Use This Workbook</t>
        </is>
      </c>
      <c r="H5" s="19" t="inlineStr">
        <is>
          <t>Ice Rental</t>
        </is>
      </c>
      <c r="I5" s="8" t="n">
        <v>2500</v>
      </c>
    </row>
    <row r="6" ht="46" customHeight="1">
      <c r="A6" s="32" t="inlineStr">
        <is>
          <t>Step 1 — On the Budget Tracker sheet, enter one row per transaction: date, type (Income or Expense), category, description, supplier or payer, city/province and payment method. Pale yellow cells are editable inputs.</t>
        </is>
      </c>
      <c r="H6" s="17" t="inlineStr">
        <is>
          <t>Referees</t>
        </is>
      </c>
      <c r="I6" s="8" t="n">
        <v>1300</v>
      </c>
    </row>
    <row r="7" ht="46" customHeight="1">
      <c r="A7" s="33" t="inlineStr">
        <is>
          <t>Step 2 — Enter the amount before tax and the GST/HST planning rate. The GST/HST amount, Total CAD, Variance CAD and Status columns calculate automatically.</t>
        </is>
      </c>
      <c r="H7" s="19" t="inlineStr">
        <is>
          <t>Medics</t>
        </is>
      </c>
      <c r="I7" s="8" t="n">
        <v>950</v>
      </c>
    </row>
    <row r="8" ht="46" customHeight="1">
      <c r="A8" s="32" t="inlineStr">
        <is>
          <t>Step 3 — Enter the budgeted amount for each line. Variance is positive when income exceeds plan or when an expense comes in under budget.</t>
        </is>
      </c>
      <c r="H8" s="17" t="inlineStr">
        <is>
          <t>Awards</t>
        </is>
      </c>
      <c r="I8" s="8" t="n">
        <v>700</v>
      </c>
    </row>
    <row r="9" ht="46" customHeight="1">
      <c r="A9" s="33" t="inlineStr">
        <is>
          <t>Step 4 — Review the Summary Dashboard for totals, net surplus/deficit, over-budget items, category breakdowns and charts.</t>
        </is>
      </c>
      <c r="H9" s="19" t="inlineStr">
        <is>
          <t>Hotel</t>
        </is>
      </c>
      <c r="I9" s="8" t="n">
        <v>1650</v>
      </c>
    </row>
    <row r="10" ht="20" customHeight="1">
      <c r="A10" s="31" t="inlineStr">
        <is>
          <t>Canadian Conventions</t>
        </is>
      </c>
      <c r="H10" s="17" t="inlineStr">
        <is>
          <t>Meals</t>
        </is>
      </c>
      <c r="I10" s="8" t="n">
        <v>1250</v>
      </c>
    </row>
    <row r="11" ht="46" customHeight="1">
      <c r="A11" s="33" t="inlineStr">
        <is>
          <t>All amounts are in Canadian dollars, formatted as $1,234.56. All dates use the Canadian standard yyyy-mm-dd.</t>
        </is>
      </c>
      <c r="H11" s="19" t="inlineStr">
        <is>
          <t>Marketing</t>
        </is>
      </c>
      <c r="I11" s="8" t="n">
        <v>850</v>
      </c>
    </row>
    <row r="12" ht="20" customHeight="1">
      <c r="A12" s="31" t="inlineStr">
        <is>
          <t>GST/HST Planning Rates</t>
        </is>
      </c>
      <c r="H12" s="17" t="inlineStr">
        <is>
          <t>Equipment</t>
        </is>
      </c>
      <c r="I12" s="8" t="n">
        <v>600</v>
      </c>
    </row>
    <row r="13" ht="46" customHeight="1">
      <c r="A13" s="33" t="inlineStr">
        <is>
          <t>The rates in this workbook are planning assumptions only. Always confirm the correct rate with the Canada Revenue Agency (CRA) or a qualified tax adviser before invoicing or filing.</t>
        </is>
      </c>
      <c r="H13" s="19" t="inlineStr">
        <is>
          <t>Administration</t>
        </is>
      </c>
      <c r="I13" s="8" t="n">
        <v>400</v>
      </c>
    </row>
    <row r="14" ht="46" customHeight="1">
      <c r="A14" s="32" t="inlineStr">
        <is>
          <t>Ontario: 13% HST. Atlantic provinces (Nova Scotia, New Brunswick, Newfoundland and Labrador, Prince Edward Island): 15% HST. Alberta, Manitoba, Saskatchewan and British Columbia: 5% GST (plus provincial sales tax where applicable, which is not tracked here).</t>
        </is>
      </c>
      <c r="H14" s="17" t="inlineStr">
        <is>
          <t>Other</t>
        </is>
      </c>
      <c r="I14" s="8" t="n">
        <v>300</v>
      </c>
    </row>
    <row r="15" ht="46" customHeight="1">
      <c r="A15" s="33" t="inlineStr">
        <is>
          <t>Quebec: 5% GST plus 9.975% QST. The sample data uses a combined planning rate of 14.975% for Quebec transactions; QST remittance is handled separately with Revenu Québec.</t>
        </is>
      </c>
    </row>
    <row r="16" ht="20" customHeight="1">
      <c r="A16" s="31" t="inlineStr">
        <is>
          <t>Revenue and Expense Guidance</t>
        </is>
      </c>
    </row>
    <row r="17" ht="46" customHeight="1">
      <c r="A17" s="33" t="inlineStr">
        <is>
          <t>Keep registration revenue, sponsorship revenue and refundable deposits in separate categories so they can be reconciled independently. Record tournament expenses by category (Ice Rental, Referees, Medics, Awards, Hotel, Meals, Marketing, Equipment, Administration) to allow year-over-year comparison.</t>
        </is>
      </c>
    </row>
    <row r="18" ht="20" customHeight="1">
      <c r="A18" s="31" t="inlineStr">
        <is>
          <t>Record Keeping and CRA Compliance</t>
        </is>
      </c>
    </row>
    <row r="19" ht="46" customHeight="1">
      <c r="A19" s="33" t="inlineStr">
        <is>
          <t>Retain all invoices and receipts for at least six years for CRA records. Confirm whether the organizing committee must register for a GST/HST account — a business number (BN) has the format 123456789RT0001. Not-for-profit sports organizations may qualify for rebates or exemptions; verify with the CRA or a tax adviser.</t>
        </is>
      </c>
    </row>
    <row r="20" ht="20" customHeight="1">
      <c r="A20" s="31" t="inlineStr">
        <is>
          <t>Category Budget Lookup Table</t>
        </is>
      </c>
    </row>
    <row r="21" ht="46" customHeight="1">
      <c r="A21" s="33" t="inlineStr">
        <is>
          <t>Columns H:I contain the lookup table used by the VLOOKUP formulas on the Summary Dashboard. Update the planned budget amounts there before entering your own tournament data.</t>
        </is>
      </c>
    </row>
  </sheetData>
  <mergeCells count="1">
    <mergeCell ref="A1:F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2026-07-29T03:12:32Z</dcterms:created>
  <dcterms:modified xmlns:dcterms="http://purl.org/dc/terms/" xmlns:xsi="http://www.w3.org/2001/XMLSchema-instance" xsi:type="dcterms:W3CDTF">2026-07-29T03:12:32Z</dcterms:modified>
</cp:coreProperties>
</file>