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ul Log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.0"/>
    <numFmt numFmtId="166" formatCode="$#,##0.00"/>
    <numFmt numFmtId="167" formatCode="0.0%"/>
    <numFmt numFmtId="168" formatCode="#,##0.0"/>
  </numFmts>
  <fonts count="5">
    <font>
      <name val="Calibri"/>
      <family val="2"/>
      <color theme="1"/>
      <sz val="11"/>
      <scheme val="minor"/>
    </font>
    <font>
      <name val="Calibri"/>
      <b val="1"/>
      <color rgb="000F766E"/>
      <sz val="16"/>
    </font>
    <font>
      <name val="Calibri"/>
      <b val="1"/>
      <color rgb="00FFFFFF"/>
      <sz val="11"/>
    </font>
    <font>
      <b val="1"/>
    </font>
    <font>
      <b val="1"/>
      <color rgb="0022C55E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CCFBF1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2" fillId="7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6" fontId="0" fillId="3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167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65" fontId="0" fillId="5" borderId="1" applyAlignment="1" pivotButton="0" quotePrefix="0" xfId="0">
      <alignment horizontal="center" vertical="center" wrapText="1"/>
    </xf>
    <xf numFmtId="166" fontId="0" fillId="5" borderId="1" applyAlignment="1" pivotButton="0" quotePrefix="0" xfId="0">
      <alignment horizontal="center" vertical="center" wrapText="1"/>
    </xf>
    <xf numFmtId="167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/>
    </xf>
    <xf numFmtId="164" fontId="0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7" fontId="3" fillId="6" borderId="1" applyAlignment="1" pivotButton="0" quotePrefix="0" xfId="0">
      <alignment horizontal="center" vertical="center" wrapText="1"/>
    </xf>
    <xf numFmtId="0" fontId="1" fillId="0" borderId="0" pivotButton="0" quotePrefix="0" xfId="0"/>
    <xf numFmtId="1" fontId="0" fillId="4" borderId="1" applyAlignment="1" pivotButton="0" quotePrefix="0" xfId="0">
      <alignment horizontal="center" vertical="center" wrapText="1"/>
    </xf>
    <xf numFmtId="3" fontId="0" fillId="5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center" vertical="center" wrapText="1"/>
    </xf>
    <xf numFmtId="168" fontId="0" fillId="5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2" fillId="7" borderId="0" pivotButton="0" quotePrefix="0" xfId="0"/>
    <xf numFmtId="0" fontId="0" fillId="0" borderId="1" applyAlignment="1" pivotButton="0" quotePrefix="0" xfId="0">
      <alignment horizontal="left" vertical="center"/>
    </xf>
    <xf numFmtId="0" fontId="3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Calibri"/>
        <b val="1"/>
        <color rgb="00DC2626"/>
        <sz val="11"/>
      </font>
    </dxf>
    <dxf>
      <font>
        <name val="Calibri"/>
        <b val="1"/>
        <color rgb="0022C55E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Profit by Haul ($)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'Haul Log'!Q2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'Haul Log'!$A$3:$A$12</f>
            </numRef>
          </cat>
          <val>
            <numRef>
              <f>'Haul Log'!$Q$3:$Q$12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Haul 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Net Profit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Catch Weight Trend (kg)</a:t>
            </a:r>
          </a:p>
        </rich>
      </tx>
    </title>
    <plotArea>
      <lineChart>
        <grouping val="standard"/>
        <ser>
          <idx val="0"/>
          <order val="0"/>
          <tx>
            <strRef>
              <f>'Haul Log'!K2</f>
            </strRef>
          </tx>
          <spPr>
            <a:ln xmlns:a="http://schemas.openxmlformats.org/drawingml/2006/main" w="22000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'Haul Log'!$B$3:$B$12</f>
            </numRef>
          </cat>
          <val>
            <numRef>
              <f>'Haul Log'!$K$3:$K$12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Weight (kg)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Catch Composition (Season Total)</a:t>
            </a:r>
          </a:p>
        </rich>
      </tx>
    </title>
    <plotArea>
      <pieChart>
        <varyColors val="1"/>
        <ser>
          <idx val="0"/>
          <order val="0"/>
          <tx>
            <strRef>
              <f>'Dashboard'!B16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'Dashboard'!$A$17:$A$19</f>
            </numRef>
          </cat>
          <val>
            <numRef>
              <f>'Dashboard'!$B$17:$B$19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20</row>
      <rowOff>0</rowOff>
    </from>
    <ext cx="648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21</row>
      <rowOff>0</rowOff>
    </from>
    <ext cx="432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3"/>
  <sheetViews>
    <sheetView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7" customWidth="1" min="3" max="3"/>
    <col width="17" customWidth="1" min="4" max="4"/>
    <col width="9" customWidth="1" min="5" max="5"/>
    <col width="16" customWidth="1" min="6" max="6"/>
    <col width="12" customWidth="1" min="7" max="7"/>
    <col width="13" customWidth="1" min="8" max="8"/>
    <col width="17" customWidth="1" min="9" max="9"/>
    <col width="15" customWidth="1" min="10" max="10"/>
    <col width="18" customWidth="1" min="11" max="11"/>
    <col width="13" customWidth="1" min="12" max="12"/>
    <col width="13" customWidth="1" min="13" max="13"/>
    <col width="12" customWidth="1" min="14" max="14"/>
    <col width="11" customWidth="1" min="15" max="15"/>
    <col width="13" customWidth="1" min="16" max="16"/>
    <col width="13" customWidth="1" min="17" max="17"/>
    <col width="12" customWidth="1" min="18" max="18"/>
    <col width="12" customWidth="1" min="19" max="19"/>
    <col width="13" customWidth="1" min="20" max="20"/>
    <col width="22" customWidth="1" min="21" max="21"/>
    <col width="16" customWidth="1" min="22" max="22"/>
    <col width="10" customWidth="1" min="23" max="23"/>
    <col width="12" customWidth="1" min="24" max="24"/>
    <col width="12" customWidth="1" min="25" max="25"/>
    <col width="11" customWidth="1" min="26" max="26"/>
  </cols>
  <sheetData>
    <row r="1" ht="28" customHeight="1">
      <c r="A1" s="1" t="inlineStr">
        <is>
          <t>Lobster Trap Haul Tracker — Nova Scotia / PEI / NB Fisheries 2026</t>
        </is>
      </c>
    </row>
    <row r="2" ht="34" customHeight="1">
      <c r="A2" s="2" t="inlineStr">
        <is>
          <t>Haul ID</t>
        </is>
      </c>
      <c r="B2" s="2" t="inlineStr">
        <is>
          <t>Date</t>
        </is>
      </c>
      <c r="C2" s="2" t="inlineStr">
        <is>
          <t>Vessel Name</t>
        </is>
      </c>
      <c r="D2" s="2" t="inlineStr">
        <is>
          <t>Captain</t>
        </is>
      </c>
      <c r="E2" s="2" t="inlineStr">
        <is>
          <t>LFA Zone</t>
        </is>
      </c>
      <c r="F2" s="2" t="inlineStr">
        <is>
          <t>Port</t>
        </is>
      </c>
      <c r="G2" s="2" t="inlineStr">
        <is>
          <t>Traps Hauled</t>
        </is>
      </c>
      <c r="H2" s="2" t="inlineStr">
        <is>
          <t>Legal Lobsters</t>
        </is>
      </c>
      <c r="I2" s="2" t="inlineStr">
        <is>
          <t>Undersized Released</t>
        </is>
      </c>
      <c r="J2" s="2" t="inlineStr">
        <is>
          <t>Berried Released</t>
        </is>
      </c>
      <c r="K2" s="2" t="inlineStr">
        <is>
          <t>Total Catch Weight (kg)</t>
        </is>
      </c>
      <c r="L2" s="2" t="inlineStr">
        <is>
          <t>Avg Price ($/kg)</t>
        </is>
      </c>
      <c r="M2" s="2" t="inlineStr">
        <is>
          <t>Total Value ($)</t>
        </is>
      </c>
      <c r="N2" s="2" t="inlineStr">
        <is>
          <t>Bait Cost ($)</t>
        </is>
      </c>
      <c r="O2" s="2" t="inlineStr">
        <is>
          <t>Fuel Cost ($)</t>
        </is>
      </c>
      <c r="P2" s="2" t="inlineStr">
        <is>
          <t>Other Costs ($)</t>
        </is>
      </c>
      <c r="Q2" s="2" t="inlineStr">
        <is>
          <t>Net Profit ($)</t>
        </is>
      </c>
      <c r="R2" s="2" t="inlineStr">
        <is>
          <t>Catch per Trap</t>
        </is>
      </c>
      <c r="S2" s="2" t="inlineStr">
        <is>
          <t>Legal Rate (%)</t>
        </is>
      </c>
      <c r="T2" s="2" t="inlineStr">
        <is>
          <t>Water Temp (°C)</t>
        </is>
      </c>
      <c r="U2" s="2" t="inlineStr">
        <is>
          <t>Notes</t>
        </is>
      </c>
      <c r="V2" s="2" t="inlineStr">
        <is>
          <t>Trap Limit Check</t>
        </is>
      </c>
      <c r="W2" s="3" t="inlineStr">
        <is>
          <t>LFA Zone Reference</t>
        </is>
      </c>
    </row>
    <row r="3">
      <c r="A3" s="4" t="inlineStr">
        <is>
          <t>H-001</t>
        </is>
      </c>
      <c r="B3" s="5" t="inlineStr">
        <is>
          <t>2026-01-12</t>
        </is>
      </c>
      <c r="C3" s="4" t="inlineStr">
        <is>
          <t>Atlantic Pride</t>
        </is>
      </c>
      <c r="D3" s="4" t="inlineStr">
        <is>
          <t>Liam MacDonald</t>
        </is>
      </c>
      <c r="E3" s="4" t="inlineStr">
        <is>
          <t>LFA 34</t>
        </is>
      </c>
      <c r="F3" s="4" t="inlineStr">
        <is>
          <t>Yarmouth NS</t>
        </is>
      </c>
      <c r="G3" s="6" t="n">
        <v>280</v>
      </c>
      <c r="H3" s="6" t="n">
        <v>195</v>
      </c>
      <c r="I3" s="6" t="n">
        <v>42</v>
      </c>
      <c r="J3" s="6" t="n">
        <v>18</v>
      </c>
      <c r="K3" s="6" t="n">
        <v>312.5</v>
      </c>
      <c r="L3" s="7" t="n">
        <v>12.5</v>
      </c>
      <c r="M3" s="8">
        <f>K3*L3</f>
        <v/>
      </c>
      <c r="N3" s="7" t="n">
        <v>3200</v>
      </c>
      <c r="O3" s="7" t="n">
        <v>210</v>
      </c>
      <c r="P3" s="7" t="n">
        <v>12.5</v>
      </c>
      <c r="Q3" s="8">
        <f>M3-N3-O3-P3</f>
        <v/>
      </c>
      <c r="R3" s="6">
        <f>IFERROR(H3/G3,0)</f>
        <v/>
      </c>
      <c r="S3" s="9">
        <f>IFERROR(H3/(H3+I3+J3),0)</f>
        <v/>
      </c>
      <c r="T3" s="6" t="n">
        <v>3.5</v>
      </c>
      <c r="U3" s="10">
        <f>IF(Q3&lt;0,"Review costs",IF(S3&gt;0.75,"Strong haul","Normal"))</f>
        <v/>
      </c>
      <c r="V3" s="11">
        <f>IF(G3&gt;IFERROR(VLOOKUP(E3,$W$4:$Z$8,4,0),9999),"Over limit","OK")</f>
        <v/>
      </c>
      <c r="W3" s="12" t="inlineStr">
        <is>
          <t>Zone</t>
        </is>
      </c>
      <c r="X3" s="12" t="inlineStr">
        <is>
          <t>Season Open</t>
        </is>
      </c>
      <c r="Y3" s="12" t="inlineStr">
        <is>
          <t>Season Close</t>
        </is>
      </c>
      <c r="Z3" s="12" t="inlineStr">
        <is>
          <t>Trap Limit</t>
        </is>
      </c>
    </row>
    <row r="4">
      <c r="A4" s="13" t="inlineStr">
        <is>
          <t>H-002</t>
        </is>
      </c>
      <c r="B4" s="14" t="inlineStr">
        <is>
          <t>2026-01-19</t>
        </is>
      </c>
      <c r="C4" s="13" t="inlineStr">
        <is>
          <t>Bay Runner</t>
        </is>
      </c>
      <c r="D4" s="13" t="inlineStr">
        <is>
          <t>Noah Comeau</t>
        </is>
      </c>
      <c r="E4" s="13" t="inlineStr">
        <is>
          <t>LFA 34</t>
        </is>
      </c>
      <c r="F4" s="13" t="inlineStr">
        <is>
          <t>Digby NS</t>
        </is>
      </c>
      <c r="G4" s="15" t="n">
        <v>265</v>
      </c>
      <c r="H4" s="15" t="n">
        <v>172</v>
      </c>
      <c r="I4" s="15" t="n">
        <v>38</v>
      </c>
      <c r="J4" s="15" t="n">
        <v>21</v>
      </c>
      <c r="K4" s="15" t="n">
        <v>285</v>
      </c>
      <c r="L4" s="7" t="n">
        <v>12.75</v>
      </c>
      <c r="M4" s="16">
        <f>K4*L4</f>
        <v/>
      </c>
      <c r="N4" s="7" t="n">
        <v>3300</v>
      </c>
      <c r="O4" s="7" t="n">
        <v>195</v>
      </c>
      <c r="P4" s="7" t="n">
        <v>11.8</v>
      </c>
      <c r="Q4" s="16">
        <f>M4-N4-O4-P4</f>
        <v/>
      </c>
      <c r="R4" s="15">
        <f>IFERROR(H4/G4,0)</f>
        <v/>
      </c>
      <c r="S4" s="17">
        <f>IFERROR(H4/(H4+I4+J4),0)</f>
        <v/>
      </c>
      <c r="T4" s="15" t="n">
        <v>3.2</v>
      </c>
      <c r="U4" s="18">
        <f>IF(Q4&lt;0,"Review costs",IF(S4&gt;0.75,"Strong haul","Normal"))</f>
        <v/>
      </c>
      <c r="V4" s="11">
        <f>IF(G4&gt;IFERROR(VLOOKUP(E4,$W$4:$Z$8,4,0),9999),"Over limit","OK")</f>
        <v/>
      </c>
      <c r="W4" s="11" t="inlineStr">
        <is>
          <t>LFA 27</t>
        </is>
      </c>
      <c r="X4" s="19" t="inlineStr">
        <is>
          <t>2026-05-01</t>
        </is>
      </c>
      <c r="Y4" s="19" t="inlineStr">
        <is>
          <t>2026-07-15</t>
        </is>
      </c>
      <c r="Z4" s="11" t="n">
        <v>250</v>
      </c>
    </row>
    <row r="5">
      <c r="A5" s="4" t="inlineStr">
        <is>
          <t>H-003</t>
        </is>
      </c>
      <c r="B5" s="5" t="inlineStr">
        <is>
          <t>2026-01-26</t>
        </is>
      </c>
      <c r="C5" s="4" t="inlineStr">
        <is>
          <t>Fundy Queen</t>
        </is>
      </c>
      <c r="D5" s="4" t="inlineStr">
        <is>
          <t>Olivia LeBlanc</t>
        </is>
      </c>
      <c r="E5" s="4" t="inlineStr">
        <is>
          <t>LFA 35</t>
        </is>
      </c>
      <c r="F5" s="4" t="inlineStr">
        <is>
          <t>Grand Manan NB</t>
        </is>
      </c>
      <c r="G5" s="6" t="n">
        <v>240</v>
      </c>
      <c r="H5" s="6" t="n">
        <v>150</v>
      </c>
      <c r="I5" s="6" t="n">
        <v>30</v>
      </c>
      <c r="J5" s="6" t="n">
        <v>15</v>
      </c>
      <c r="K5" s="6" t="n">
        <v>250</v>
      </c>
      <c r="L5" s="7" t="n">
        <v>11.9</v>
      </c>
      <c r="M5" s="8">
        <f>K5*L5</f>
        <v/>
      </c>
      <c r="N5" s="7" t="n">
        <v>3300</v>
      </c>
      <c r="O5" s="7" t="n">
        <v>180</v>
      </c>
      <c r="P5" s="7" t="n">
        <v>13</v>
      </c>
      <c r="Q5" s="8">
        <f>M5-N5-O5-P5</f>
        <v/>
      </c>
      <c r="R5" s="6">
        <f>IFERROR(H5/G5,0)</f>
        <v/>
      </c>
      <c r="S5" s="9">
        <f>IFERROR(H5/(H5+I5+J5),0)</f>
        <v/>
      </c>
      <c r="T5" s="6" t="n">
        <v>3.8</v>
      </c>
      <c r="U5" s="10">
        <f>IF(Q5&lt;0,"Review costs",IF(S5&gt;0.75,"Strong haul","Normal"))</f>
        <v/>
      </c>
      <c r="V5" s="11">
        <f>IF(G5&gt;IFERROR(VLOOKUP(E5,$W$4:$Z$8,4,0),9999),"Over limit","OK")</f>
        <v/>
      </c>
      <c r="W5" s="11" t="inlineStr">
        <is>
          <t>LFA 33</t>
        </is>
      </c>
      <c r="X5" s="19" t="inlineStr">
        <is>
          <t>2026-11-25</t>
        </is>
      </c>
      <c r="Y5" s="19" t="inlineStr">
        <is>
          <t>2026-05-31</t>
        </is>
      </c>
      <c r="Z5" s="11" t="n">
        <v>250</v>
      </c>
    </row>
    <row r="6">
      <c r="A6" s="13" t="inlineStr">
        <is>
          <t>H-004</t>
        </is>
      </c>
      <c r="B6" s="14" t="inlineStr">
        <is>
          <t>2026-02-02</t>
        </is>
      </c>
      <c r="C6" s="13" t="inlineStr">
        <is>
          <t>Northern Catch</t>
        </is>
      </c>
      <c r="D6" s="13" t="inlineStr">
        <is>
          <t>Lucas Thibodeau</t>
        </is>
      </c>
      <c r="E6" s="13" t="inlineStr">
        <is>
          <t>LFA 33</t>
        </is>
      </c>
      <c r="F6" s="13" t="inlineStr">
        <is>
          <t>Shelburne NS</t>
        </is>
      </c>
      <c r="G6" s="15" t="n">
        <v>300</v>
      </c>
      <c r="H6" s="15" t="n">
        <v>210</v>
      </c>
      <c r="I6" s="15" t="n">
        <v>45</v>
      </c>
      <c r="J6" s="15" t="n">
        <v>22</v>
      </c>
      <c r="K6" s="15" t="n">
        <v>340</v>
      </c>
      <c r="L6" s="7" t="n">
        <v>12.6</v>
      </c>
      <c r="M6" s="16">
        <f>K6*L6</f>
        <v/>
      </c>
      <c r="N6" s="7" t="n">
        <v>3350</v>
      </c>
      <c r="O6" s="7" t="n">
        <v>220</v>
      </c>
      <c r="P6" s="7" t="n">
        <v>14</v>
      </c>
      <c r="Q6" s="16">
        <f>M6-N6-O6-P6</f>
        <v/>
      </c>
      <c r="R6" s="15">
        <f>IFERROR(H6/G6,0)</f>
        <v/>
      </c>
      <c r="S6" s="17">
        <f>IFERROR(H6/(H6+I6+J6),0)</f>
        <v/>
      </c>
      <c r="T6" s="15" t="n">
        <v>3.1</v>
      </c>
      <c r="U6" s="18">
        <f>IF(Q6&lt;0,"Review costs",IF(S6&gt;0.75,"Strong haul","Normal"))</f>
        <v/>
      </c>
      <c r="V6" s="11">
        <f>IF(G6&gt;IFERROR(VLOOKUP(E6,$W$4:$Z$8,4,0),9999),"Over limit","OK")</f>
        <v/>
      </c>
      <c r="W6" s="11" t="inlineStr">
        <is>
          <t>LFA 34</t>
        </is>
      </c>
      <c r="X6" s="19" t="inlineStr">
        <is>
          <t>2026-11-25</t>
        </is>
      </c>
      <c r="Y6" s="19" t="inlineStr">
        <is>
          <t>2026-05-31</t>
        </is>
      </c>
      <c r="Z6" s="11" t="n">
        <v>375</v>
      </c>
    </row>
    <row r="7">
      <c r="A7" s="4" t="inlineStr">
        <is>
          <t>H-005</t>
        </is>
      </c>
      <c r="B7" s="5" t="inlineStr">
        <is>
          <t>2026-02-09</t>
        </is>
      </c>
      <c r="C7" s="4" t="inlineStr">
        <is>
          <t>Cape Breton Star</t>
        </is>
      </c>
      <c r="D7" s="4" t="inlineStr">
        <is>
          <t>Sophie Arsenault</t>
        </is>
      </c>
      <c r="E7" s="4" t="inlineStr">
        <is>
          <t>LFA 27</t>
        </is>
      </c>
      <c r="F7" s="4" t="inlineStr">
        <is>
          <t>Cheticamp NS</t>
        </is>
      </c>
      <c r="G7" s="6" t="n">
        <v>220</v>
      </c>
      <c r="H7" s="6" t="n">
        <v>128</v>
      </c>
      <c r="I7" s="6" t="n">
        <v>35</v>
      </c>
      <c r="J7" s="6" t="n">
        <v>12</v>
      </c>
      <c r="K7" s="6" t="n">
        <v>210</v>
      </c>
      <c r="L7" s="7" t="n">
        <v>11.5</v>
      </c>
      <c r="M7" s="8">
        <f>K7*L7</f>
        <v/>
      </c>
      <c r="N7" s="7" t="n">
        <v>3300</v>
      </c>
      <c r="O7" s="7" t="n">
        <v>175</v>
      </c>
      <c r="P7" s="7" t="n">
        <v>10.5</v>
      </c>
      <c r="Q7" s="8">
        <f>M7-N7-O7-P7</f>
        <v/>
      </c>
      <c r="R7" s="6">
        <f>IFERROR(H7/G7,0)</f>
        <v/>
      </c>
      <c r="S7" s="9">
        <f>IFERROR(H7/(H7+I7+J7),0)</f>
        <v/>
      </c>
      <c r="T7" s="6" t="n">
        <v>2.9</v>
      </c>
      <c r="U7" s="10">
        <f>IF(Q7&lt;0,"Review costs",IF(S7&gt;0.75,"Strong haul","Normal"))</f>
        <v/>
      </c>
      <c r="V7" s="11">
        <f>IF(G7&gt;IFERROR(VLOOKUP(E7,$W$4:$Z$8,4,0),9999),"Over limit","OK")</f>
        <v/>
      </c>
      <c r="W7" s="11" t="inlineStr">
        <is>
          <t>LFA 35</t>
        </is>
      </c>
      <c r="X7" s="19" t="inlineStr">
        <is>
          <t>2026-10-14</t>
        </is>
      </c>
      <c r="Y7" s="19" t="inlineStr">
        <is>
          <t>2026-06-30</t>
        </is>
      </c>
      <c r="Z7" s="11" t="n">
        <v>300</v>
      </c>
    </row>
    <row r="8">
      <c r="A8" s="13" t="inlineStr">
        <is>
          <t>H-006</t>
        </is>
      </c>
      <c r="B8" s="14" t="inlineStr">
        <is>
          <t>2026-02-16</t>
        </is>
      </c>
      <c r="C8" s="13" t="inlineStr">
        <is>
          <t>Scotian Wind</t>
        </is>
      </c>
      <c r="D8" s="13" t="inlineStr">
        <is>
          <t>Emma Boudreau</t>
        </is>
      </c>
      <c r="E8" s="13" t="inlineStr">
        <is>
          <t>LFA 34</t>
        </is>
      </c>
      <c r="F8" s="13" t="inlineStr">
        <is>
          <t>Yarmouth NS</t>
        </is>
      </c>
      <c r="G8" s="15" t="n">
        <v>290</v>
      </c>
      <c r="H8" s="15" t="n">
        <v>205</v>
      </c>
      <c r="I8" s="15" t="n">
        <v>40</v>
      </c>
      <c r="J8" s="15" t="n">
        <v>19</v>
      </c>
      <c r="K8" s="15" t="n">
        <v>330</v>
      </c>
      <c r="L8" s="7" t="n">
        <v>12.8</v>
      </c>
      <c r="M8" s="16">
        <f>K8*L8</f>
        <v/>
      </c>
      <c r="N8" s="7" t="n">
        <v>3300</v>
      </c>
      <c r="O8" s="7" t="n">
        <v>205</v>
      </c>
      <c r="P8" s="7" t="n">
        <v>12.2</v>
      </c>
      <c r="Q8" s="16">
        <f>M8-N8-O8-P8</f>
        <v/>
      </c>
      <c r="R8" s="15">
        <f>IFERROR(H8/G8,0)</f>
        <v/>
      </c>
      <c r="S8" s="17">
        <f>IFERROR(H8/(H8+I8+J8),0)</f>
        <v/>
      </c>
      <c r="T8" s="15" t="n">
        <v>3.4</v>
      </c>
      <c r="U8" s="18">
        <f>IF(Q8&lt;0,"Review costs",IF(S8&gt;0.75,"Strong haul","Normal"))</f>
        <v/>
      </c>
      <c r="V8" s="11">
        <f>IF(G8&gt;IFERROR(VLOOKUP(E8,$W$4:$Z$8,4,0),9999),"Over limit","OK")</f>
        <v/>
      </c>
      <c r="W8" s="11" t="inlineStr">
        <is>
          <t>LFA 25</t>
        </is>
      </c>
      <c r="X8" s="19" t="inlineStr">
        <is>
          <t>2026-05-01</t>
        </is>
      </c>
      <c r="Y8" s="19" t="inlineStr">
        <is>
          <t>2026-06-30</t>
        </is>
      </c>
      <c r="Z8" s="11" t="n">
        <v>275</v>
      </c>
    </row>
    <row r="9">
      <c r="A9" s="4" t="inlineStr">
        <is>
          <t>H-007</t>
        </is>
      </c>
      <c r="B9" s="5" t="inlineStr">
        <is>
          <t>2026-02-23</t>
        </is>
      </c>
      <c r="C9" s="4" t="inlineStr">
        <is>
          <t>Acadian Spirit</t>
        </is>
      </c>
      <c r="D9" s="4" t="inlineStr">
        <is>
          <t>Mason Doucette</t>
        </is>
      </c>
      <c r="E9" s="4" t="inlineStr">
        <is>
          <t>LFA 25</t>
        </is>
      </c>
      <c r="F9" s="4" t="inlineStr">
        <is>
          <t>North Rustico PEI</t>
        </is>
      </c>
      <c r="G9" s="6" t="n">
        <v>250</v>
      </c>
      <c r="H9" s="6" t="n">
        <v>140</v>
      </c>
      <c r="I9" s="6" t="n">
        <v>33</v>
      </c>
      <c r="J9" s="6" t="n">
        <v>17</v>
      </c>
      <c r="K9" s="6" t="n">
        <v>235</v>
      </c>
      <c r="L9" s="7" t="n">
        <v>11.75</v>
      </c>
      <c r="M9" s="8">
        <f>K9*L9</f>
        <v/>
      </c>
      <c r="N9" s="7" t="n">
        <v>3350</v>
      </c>
      <c r="O9" s="7" t="n">
        <v>190</v>
      </c>
      <c r="P9" s="7" t="n">
        <v>13.5</v>
      </c>
      <c r="Q9" s="8">
        <f>M9-N9-O9-P9</f>
        <v/>
      </c>
      <c r="R9" s="6">
        <f>IFERROR(H9/G9,0)</f>
        <v/>
      </c>
      <c r="S9" s="9">
        <f>IFERROR(H9/(H9+I9+J9),0)</f>
        <v/>
      </c>
      <c r="T9" s="6" t="n">
        <v>4</v>
      </c>
      <c r="U9" s="10">
        <f>IF(Q9&lt;0,"Review costs",IF(S9&gt;0.75,"Strong haul","Normal"))</f>
        <v/>
      </c>
      <c r="V9" s="11">
        <f>IF(G9&gt;IFERROR(VLOOKUP(E9,$W$4:$Z$8,4,0),9999),"Over limit","OK")</f>
        <v/>
      </c>
    </row>
    <row r="10">
      <c r="A10" s="13" t="inlineStr">
        <is>
          <t>H-008</t>
        </is>
      </c>
      <c r="B10" s="14" t="inlineStr">
        <is>
          <t>2026-03-02</t>
        </is>
      </c>
      <c r="C10" s="13" t="inlineStr">
        <is>
          <t>Digby Runner</t>
        </is>
      </c>
      <c r="D10" s="13" t="inlineStr">
        <is>
          <t>Ethan Surette</t>
        </is>
      </c>
      <c r="E10" s="13" t="inlineStr">
        <is>
          <t>LFA 34</t>
        </is>
      </c>
      <c r="F10" s="13" t="inlineStr">
        <is>
          <t>Digby NS</t>
        </is>
      </c>
      <c r="G10" s="15" t="n">
        <v>275</v>
      </c>
      <c r="H10" s="15" t="n">
        <v>188</v>
      </c>
      <c r="I10" s="15" t="n">
        <v>41</v>
      </c>
      <c r="J10" s="15" t="n">
        <v>20</v>
      </c>
      <c r="K10" s="15" t="n">
        <v>300</v>
      </c>
      <c r="L10" s="7" t="n">
        <v>12.65</v>
      </c>
      <c r="M10" s="16">
        <f>K10*L10</f>
        <v/>
      </c>
      <c r="N10" s="7" t="n">
        <v>3300</v>
      </c>
      <c r="O10" s="7" t="n">
        <v>200</v>
      </c>
      <c r="P10" s="7" t="n">
        <v>12</v>
      </c>
      <c r="Q10" s="16">
        <f>M10-N10-O10-P10</f>
        <v/>
      </c>
      <c r="R10" s="15">
        <f>IFERROR(H10/G10,0)</f>
        <v/>
      </c>
      <c r="S10" s="17">
        <f>IFERROR(H10/(H10+I10+J10),0)</f>
        <v/>
      </c>
      <c r="T10" s="15" t="n">
        <v>3.3</v>
      </c>
      <c r="U10" s="18">
        <f>IF(Q10&lt;0,"Review costs",IF(S10&gt;0.75,"Strong haul","Normal"))</f>
        <v/>
      </c>
      <c r="V10" s="11">
        <f>IF(G10&gt;IFERROR(VLOOKUP(E10,$W$4:$Z$8,4,0),9999),"Over limit","OK")</f>
        <v/>
      </c>
    </row>
    <row r="11">
      <c r="A11" s="4" t="inlineStr">
        <is>
          <t>H-009</t>
        </is>
      </c>
      <c r="B11" s="5" t="inlineStr">
        <is>
          <t>2026-03-09</t>
        </is>
      </c>
      <c r="C11" s="4" t="inlineStr">
        <is>
          <t>Yarmouth Belle</t>
        </is>
      </c>
      <c r="D11" s="4" t="inlineStr">
        <is>
          <t>William Nickerson</t>
        </is>
      </c>
      <c r="E11" s="4" t="inlineStr">
        <is>
          <t>LFA 33</t>
        </is>
      </c>
      <c r="F11" s="4" t="inlineStr">
        <is>
          <t>Shelburne NS</t>
        </is>
      </c>
      <c r="G11" s="6" t="n">
        <v>260</v>
      </c>
      <c r="H11" s="6" t="n">
        <v>165</v>
      </c>
      <c r="I11" s="6" t="n">
        <v>36</v>
      </c>
      <c r="J11" s="6" t="n">
        <v>16</v>
      </c>
      <c r="K11" s="6" t="n">
        <v>270</v>
      </c>
      <c r="L11" s="7" t="n">
        <v>12.4</v>
      </c>
      <c r="M11" s="8">
        <f>K11*L11</f>
        <v/>
      </c>
      <c r="N11" s="7" t="n">
        <v>3350</v>
      </c>
      <c r="O11" s="7" t="n">
        <v>195</v>
      </c>
      <c r="P11" s="7" t="n">
        <v>11.9</v>
      </c>
      <c r="Q11" s="8">
        <f>M11-N11-O11-P11</f>
        <v/>
      </c>
      <c r="R11" s="6">
        <f>IFERROR(H11/G11,0)</f>
        <v/>
      </c>
      <c r="S11" s="9">
        <f>IFERROR(H11/(H11+I11+J11),0)</f>
        <v/>
      </c>
      <c r="T11" s="6" t="n">
        <v>3</v>
      </c>
      <c r="U11" s="10">
        <f>IF(Q11&lt;0,"Review costs",IF(S11&gt;0.75,"Strong haul","Normal"))</f>
        <v/>
      </c>
      <c r="V11" s="11">
        <f>IF(G11&gt;IFERROR(VLOOKUP(E11,$W$4:$Z$8,4,0),9999),"Over limit","OK")</f>
        <v/>
      </c>
    </row>
    <row r="12">
      <c r="A12" s="13" t="inlineStr">
        <is>
          <t>H-010</t>
        </is>
      </c>
      <c r="B12" s="14" t="inlineStr">
        <is>
          <t>2026-03-16</t>
        </is>
      </c>
      <c r="C12" s="13" t="inlineStr">
        <is>
          <t>Maritime Voyager</t>
        </is>
      </c>
      <c r="D12" s="13" t="inlineStr">
        <is>
          <t>Ava Muise</t>
        </is>
      </c>
      <c r="E12" s="13" t="inlineStr">
        <is>
          <t>LFA 34</t>
        </is>
      </c>
      <c r="F12" s="13" t="inlineStr">
        <is>
          <t>Yarmouth NS</t>
        </is>
      </c>
      <c r="G12" s="15" t="n">
        <v>285</v>
      </c>
      <c r="H12" s="15" t="n">
        <v>198</v>
      </c>
      <c r="I12" s="15" t="n">
        <v>44</v>
      </c>
      <c r="J12" s="15" t="n">
        <v>23</v>
      </c>
      <c r="K12" s="15" t="n">
        <v>315</v>
      </c>
      <c r="L12" s="7" t="n">
        <v>12.55</v>
      </c>
      <c r="M12" s="16">
        <f>K12*L12</f>
        <v/>
      </c>
      <c r="N12" s="7" t="n">
        <v>3300</v>
      </c>
      <c r="O12" s="7" t="n">
        <v>210</v>
      </c>
      <c r="P12" s="7" t="n">
        <v>12.8</v>
      </c>
      <c r="Q12" s="16">
        <f>M12-N12-O12-P12</f>
        <v/>
      </c>
      <c r="R12" s="15">
        <f>IFERROR(H12/G12,0)</f>
        <v/>
      </c>
      <c r="S12" s="17">
        <f>IFERROR(H12/(H12+I12+J12),0)</f>
        <v/>
      </c>
      <c r="T12" s="15" t="n">
        <v>3.6</v>
      </c>
      <c r="U12" s="18">
        <f>IF(Q12&lt;0,"Review costs",IF(S12&gt;0.75,"Strong haul","Normal"))</f>
        <v/>
      </c>
      <c r="V12" s="11">
        <f>IF(G12&gt;IFERROR(VLOOKUP(E12,$W$4:$Z$8,4,0),9999),"Over limit","OK")</f>
        <v/>
      </c>
    </row>
    <row r="13">
      <c r="A13" s="20" t="inlineStr">
        <is>
          <t>TOTAL / AVERAGE</t>
        </is>
      </c>
      <c r="G13" s="21">
        <f>SUM(G3:G12)</f>
        <v/>
      </c>
      <c r="H13" s="21">
        <f>SUM(H3:H12)</f>
        <v/>
      </c>
      <c r="I13" s="21">
        <f>SUM(I3:I12)</f>
        <v/>
      </c>
      <c r="J13" s="21">
        <f>SUM(J3:J12)</f>
        <v/>
      </c>
      <c r="K13" s="21">
        <f>SUM(K3:K12)</f>
        <v/>
      </c>
      <c r="L13" s="22">
        <f>IFERROR(AVERAGE(L3:L12),0)</f>
        <v/>
      </c>
      <c r="M13" s="22">
        <f>SUM(M3:M12)</f>
        <v/>
      </c>
      <c r="N13" s="22">
        <f>SUM(N3:N12)</f>
        <v/>
      </c>
      <c r="O13" s="22">
        <f>SUM(O3:O12)</f>
        <v/>
      </c>
      <c r="P13" s="22">
        <f>SUM(P3:P12)</f>
        <v/>
      </c>
      <c r="Q13" s="22">
        <f>SUM(Q3:Q12)</f>
        <v/>
      </c>
      <c r="R13" s="21">
        <f>IFERROR(AVERAGE(R3:R12),0)</f>
        <v/>
      </c>
      <c r="S13" s="23">
        <f>IFERROR(AVERAGE(S3:S12),0)</f>
        <v/>
      </c>
      <c r="T13" s="21">
        <f>IFERROR(AVERAGE(T3:T12),0)</f>
        <v/>
      </c>
    </row>
  </sheetData>
  <mergeCells count="3">
    <mergeCell ref="A1:U1"/>
    <mergeCell ref="A13:F13"/>
    <mergeCell ref="W2:Z2"/>
  </mergeCells>
  <conditionalFormatting sqref="Q3:Q13">
    <cfRule type="expression" priority="1" dxfId="0" stopIfTrue="1">
      <formula>Q3&lt;0</formula>
    </cfRule>
    <cfRule type="expression" priority="2" dxfId="1" stopIfTrue="1">
      <formula>Q3&gt;=0</formula>
    </cfRule>
  </conditionalFormatting>
  <dataValidations count="1">
    <dataValidation sqref="E3:E12" showErrorMessage="1" showInputMessage="1" allowBlank="1" type="list">
      <formula1>"LFA 27,LFA 33,LFA 34,LFA 35,LFA 25"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4" customWidth="1" min="3" max="3"/>
    <col width="16" customWidth="1" min="4" max="4"/>
    <col width="16" customWidth="1" min="5" max="5"/>
    <col width="16" customWidth="1" min="6" max="6"/>
  </cols>
  <sheetData>
    <row r="1" ht="26" customHeight="1">
      <c r="A1" s="24" t="inlineStr">
        <is>
          <t>Season Dashboard — Key Metrics</t>
        </is>
      </c>
    </row>
    <row r="2"/>
    <row r="3">
      <c r="A3" s="2" t="inlineStr">
        <is>
          <t>Metric</t>
        </is>
      </c>
      <c r="B3" s="2" t="inlineStr">
        <is>
          <t>Value</t>
        </is>
      </c>
    </row>
    <row r="4">
      <c r="A4" s="10" t="inlineStr">
        <is>
          <t>Total Hauls Logged</t>
        </is>
      </c>
      <c r="B4" s="25">
        <f>COUNTA('Haul Log'!A3:A12)</f>
        <v/>
      </c>
    </row>
    <row r="5">
      <c r="A5" s="18" t="inlineStr">
        <is>
          <t>Total Traps Hauled</t>
        </is>
      </c>
      <c r="B5" s="26">
        <f>'Haul Log'!G13</f>
        <v/>
      </c>
    </row>
    <row r="6">
      <c r="A6" s="10" t="inlineStr">
        <is>
          <t>Total Legal Lobsters</t>
        </is>
      </c>
      <c r="B6" s="27">
        <f>'Haul Log'!H13</f>
        <v/>
      </c>
    </row>
    <row r="7">
      <c r="A7" s="18" t="inlineStr">
        <is>
          <t>Total Undersized Released</t>
        </is>
      </c>
      <c r="B7" s="26">
        <f>'Haul Log'!I13</f>
        <v/>
      </c>
    </row>
    <row r="8">
      <c r="A8" s="10" t="inlineStr">
        <is>
          <t>Total Berried Released</t>
        </is>
      </c>
      <c r="B8" s="27">
        <f>'Haul Log'!J13</f>
        <v/>
      </c>
    </row>
    <row r="9">
      <c r="A9" s="18" t="inlineStr">
        <is>
          <t>Total Catch Weight (kg)</t>
        </is>
      </c>
      <c r="B9" s="28">
        <f>'Haul Log'!K13</f>
        <v/>
      </c>
    </row>
    <row r="10">
      <c r="A10" s="10" t="inlineStr">
        <is>
          <t>Total Value ($)</t>
        </is>
      </c>
      <c r="B10" s="8">
        <f>'Haul Log'!M13</f>
        <v/>
      </c>
    </row>
    <row r="11">
      <c r="A11" s="18" t="inlineStr">
        <is>
          <t>Total Costs ($)</t>
        </is>
      </c>
      <c r="B11" s="16">
        <f>'Haul Log'!N13+'Haul Log'!O13+'Haul Log'!P13</f>
        <v/>
      </c>
    </row>
    <row r="12">
      <c r="A12" s="10" t="inlineStr">
        <is>
          <t>Total Net Profit ($)</t>
        </is>
      </c>
      <c r="B12" s="29">
        <f>'Haul Log'!Q13</f>
        <v/>
      </c>
    </row>
    <row r="13">
      <c r="A13" s="18" t="inlineStr">
        <is>
          <t>Average Legal Rate (%)</t>
        </is>
      </c>
      <c r="B13" s="17">
        <f>'Haul Log'!S13</f>
        <v/>
      </c>
    </row>
    <row r="14"/>
    <row r="15"/>
    <row r="16">
      <c r="A16" s="30" t="inlineStr">
        <is>
          <t>Catch Composition</t>
        </is>
      </c>
    </row>
    <row r="17">
      <c r="A17" s="31" t="inlineStr">
        <is>
          <t>Legal Lobsters</t>
        </is>
      </c>
      <c r="B17" s="11">
        <f>'Haul Log'!H13</f>
        <v/>
      </c>
    </row>
    <row r="18">
      <c r="A18" s="31" t="inlineStr">
        <is>
          <t>Undersized Released</t>
        </is>
      </c>
      <c r="B18" s="11">
        <f>'Haul Log'!I13</f>
        <v/>
      </c>
    </row>
    <row r="19">
      <c r="A19" s="31" t="inlineStr">
        <is>
          <t>Berried Released</t>
        </is>
      </c>
      <c r="B19" s="11">
        <f>'Haul Log'!J13</f>
        <v/>
      </c>
    </row>
  </sheetData>
  <mergeCells count="2">
    <mergeCell ref="A1:F1"/>
    <mergeCell ref="A16:B16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4" customWidth="1" min="1" max="1"/>
    <col width="95" customWidth="1" min="2" max="2"/>
  </cols>
  <sheetData>
    <row r="1" ht="26" customHeight="1">
      <c r="A1" s="24" t="inlineStr">
        <is>
          <t>Instructions — Lobster Trap Haul Tracker</t>
        </is>
      </c>
    </row>
    <row r="2">
      <c r="A2" s="2" t="inlineStr">
        <is>
          <t>Section</t>
        </is>
      </c>
      <c r="B2" s="2" t="inlineStr">
        <is>
          <t>Details</t>
        </is>
      </c>
    </row>
    <row r="3" ht="44" customHeight="1">
      <c r="A3" s="32" t="inlineStr">
        <is>
          <t>Haul Log sheet</t>
        </is>
      </c>
      <c r="B3" s="33" t="inlineStr">
        <is>
          <t>Enter one row per haul: date, vessel, captain, LFA zone, port, traps hauled, legal/undersized/berried counts, catch weight and price. Yellow cells (Avg Price, Bait Cost, Fuel Cost, Other Costs) are editable inputs.</t>
        </is>
      </c>
    </row>
    <row r="4" ht="44" customHeight="1">
      <c r="A4" s="34" t="inlineStr">
        <is>
          <t>LFA Zone</t>
        </is>
      </c>
      <c r="B4" s="35" t="inlineStr">
        <is>
          <t>Choose the zone from the dropdown list. This links to the reference table (columns W-Z) for season dates and trap limits via VLOOKUP.</t>
        </is>
      </c>
    </row>
    <row r="5" ht="44" customHeight="1">
      <c r="A5" s="32" t="inlineStr">
        <is>
          <t>Trap Limit Check</t>
        </is>
      </c>
      <c r="B5" s="33" t="inlineStr">
        <is>
          <t>Column V flags 'Over limit' if Traps Hauled exceeds the licensed trap limit for that LFA zone, using VLOOKUP against the reference table.</t>
        </is>
      </c>
    </row>
    <row r="6" ht="44" customHeight="1">
      <c r="A6" s="34" t="inlineStr">
        <is>
          <t>Total Value / Net Profit</t>
        </is>
      </c>
      <c r="B6" s="35" t="inlineStr">
        <is>
          <t>Total Value = Catch Weight x Avg Price. Net Profit = Total Value minus Bait, Fuel and Other Costs. Negative profit rows are highlighted in red, positive in green.</t>
        </is>
      </c>
    </row>
    <row r="7" ht="44" customHeight="1">
      <c r="A7" s="32" t="inlineStr">
        <is>
          <t>Catch per Trap / Legal Rate</t>
        </is>
      </c>
      <c r="B7" s="33" t="inlineStr">
        <is>
          <t>Catch per Trap = Legal Lobsters / Traps Hauled. Legal Rate = Legal / (Legal + Undersized + Berried), shown as a percentage.</t>
        </is>
      </c>
    </row>
    <row r="8" ht="44" customHeight="1">
      <c r="A8" s="34" t="inlineStr">
        <is>
          <t>Status column</t>
        </is>
      </c>
      <c r="B8" s="35" t="inlineStr">
        <is>
          <t>Automatically flags hauls needing cost review (negative profit) or a 'Strong haul' when the legal rate exceeds 75%.</t>
        </is>
      </c>
    </row>
    <row r="9" ht="44" customHeight="1">
      <c r="A9" s="32" t="inlineStr">
        <is>
          <t>Dashboard sheet</t>
        </is>
      </c>
      <c r="B9" s="33" t="inlineStr">
        <is>
          <t>Shows season totals, average legal rate and three charts: Net Profit by haul, Catch Weight trend over time, and season Catch Composition (legal vs undersized vs berried).</t>
        </is>
      </c>
    </row>
    <row r="10" ht="44" customHeight="1">
      <c r="A10" s="34" t="inlineStr">
        <is>
          <t>Conservation reminder</t>
        </is>
      </c>
      <c r="B10" s="35" t="inlineStr">
        <is>
          <t>Always release berried (egg-bearing) and undersized lobsters immediately and follow Fisheries and Oceans Canada (DFO) measuring gauge rules for your LFA zone.</t>
        </is>
      </c>
    </row>
    <row r="11" ht="44" customHeight="1">
      <c r="A11" s="32" t="inlineStr">
        <is>
          <t>Data entry tips</t>
        </is>
      </c>
      <c r="B11" s="33" t="inlineStr">
        <is>
          <t>Keep dates in YYYY-MM-DD format. Do not delete formula cells (Total Value, Net Profit, Catch per Trap, Legal Rate, Status, Trap Limit Check) — they update automatically.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2026-07-21T13:59:34Z</dcterms:created>
  <dcterms:modified xmlns:dcterms="http://purl.org/dc/terms/" xmlns:xsi="http://www.w3.org/2001/XMLSchema-instance" xsi:type="dcterms:W3CDTF">2026-07-21T13:59:34Z</dcterms:modified>
</cp:coreProperties>
</file>