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e Tracker" sheetId="1" state="visible" r:id="rId1"/>
    <sheet xmlns:r="http://schemas.openxmlformats.org/officeDocument/2006/relationships" name="Fee Schedule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0" hidden="1">'Fee Tracker'!$A$3:$R$12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10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1"/>
    </font>
    <font>
      <name val="Calibri"/>
      <i val="1"/>
      <color rgb="00475569"/>
      <sz val="9"/>
    </font>
    <font>
      <b val="1"/>
      <color rgb="00FFFFFF"/>
    </font>
    <font>
      <i val="1"/>
      <color rgb="00475569"/>
      <sz val="9"/>
    </font>
    <font>
      <b val="1"/>
      <color rgb="001E293B"/>
      <sz val="14"/>
    </font>
    <font>
      <b val="1"/>
      <color rgb="001E293B"/>
    </font>
    <font>
      <b val="1"/>
      <color rgb="0016A34A"/>
    </font>
    <font>
      <b val="1"/>
      <color rgb="00DC2626"/>
    </font>
  </fonts>
  <fills count="6">
    <fill>
      <patternFill/>
    </fill>
    <fill>
      <patternFill patternType="gray125"/>
    </fill>
    <fill>
      <patternFill patternType="solid">
        <fgColor rgb="00C8102E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pivotButton="0" quotePrefix="0" xfId="0"/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right" vertical="center"/>
    </xf>
    <xf numFmtId="10" fontId="0" fillId="0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3" borderId="1" pivotButton="0" quotePrefix="0" xfId="0"/>
    <xf numFmtId="165" fontId="4" fillId="3" borderId="1" applyAlignment="1" pivotButton="0" quotePrefix="0" xfId="0">
      <alignment horizontal="right" vertical="center"/>
    </xf>
    <xf numFmtId="0" fontId="5" fillId="0" borderId="0" pivotButton="0" quotePrefix="0" xfId="0"/>
    <xf numFmtId="0" fontId="2" fillId="2" borderId="0" pivotButton="0" quotePrefix="0" xfId="0"/>
    <xf numFmtId="0" fontId="0" fillId="0" borderId="1" pivotButton="0" quotePrefix="0" xfId="0"/>
    <xf numFmtId="10" fontId="0" fillId="5" borderId="1" applyAlignment="1" pivotButton="0" quotePrefix="0" xfId="0">
      <alignment horizontal="right" vertical="center"/>
    </xf>
    <xf numFmtId="0" fontId="0" fillId="4" borderId="1" pivotButton="0" quotePrefix="0" xfId="0"/>
    <xf numFmtId="0" fontId="3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4" borderId="1" pivotButton="0" quotePrefix="0" xfId="0"/>
    <xf numFmtId="1" fontId="0" fillId="4" borderId="1" applyAlignment="1" pivotButton="0" quotePrefix="0" xfId="0">
      <alignment horizontal="right" vertical="center"/>
    </xf>
    <xf numFmtId="0" fontId="7" fillId="0" borderId="1" pivotButton="0" quotePrefix="0" xfId="0"/>
    <xf numFmtId="165" fontId="7" fillId="0" borderId="1" applyAlignment="1" pivotButton="0" quotePrefix="0" xfId="0">
      <alignment horizontal="right" vertical="center"/>
    </xf>
    <xf numFmtId="165" fontId="8" fillId="4" borderId="1" applyAlignment="1" pivotButton="0" quotePrefix="0" xfId="0">
      <alignment horizontal="right" vertical="center"/>
    </xf>
    <xf numFmtId="165" fontId="9" fillId="0" borderId="1" applyAlignment="1" pivotButton="0" quotePrefix="0" xfId="0">
      <alignment horizontal="right" vertical="center"/>
    </xf>
    <xf numFmtId="1" fontId="0" fillId="0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5" fontId="7" fillId="0" borderId="1" applyAlignment="1" pivotButton="0" quotePrefix="0" xfId="0">
      <alignment horizontal="right" vertical="center"/>
    </xf>
    <xf numFmtId="165" fontId="8" fillId="4" borderId="1" applyAlignment="1" pivotButton="0" quotePrefix="0" xfId="0">
      <alignment horizontal="right" vertical="center"/>
    </xf>
    <xf numFmtId="165" fontId="9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Registrations by Payment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'Dashboard'!H4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'Dashboard'!$G$5:$G$7</f>
            </numRef>
          </cat>
          <val>
            <numRef>
              <f>'Dashboard'!$H$5:$H$7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Collected vs Balance Due by Division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'Dashboard'!D15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'Dashboard'!$A$16:$A$20</f>
            </numRef>
          </cat>
          <val>
            <numRef>
              <f>'Dashboard'!$D$16:$D$20</f>
            </numRef>
          </val>
        </ser>
        <ser>
          <idx val="1"/>
          <order val="1"/>
          <tx>
            <strRef>
              <f>'Dashboard'!E15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'Dashboard'!$A$16:$A$20</f>
            </numRef>
          </cat>
          <val>
            <numRef>
              <f>'Dashboard'!$E$16:$E$20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$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Amount Collected by Payment Month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'Dashboard'!H11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'Dashboard'!$G$12:$G$16</f>
            </numRef>
          </cat>
          <val>
            <numRef>
              <f>'Dashboard'!$H$12:$H$16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$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396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23</row>
      <rowOff>0</rowOff>
    </from>
    <ext cx="504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39</row>
      <rowOff>0</rowOff>
    </from>
    <ext cx="396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xSplit="2" ySplit="3" topLeftCell="C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15" customWidth="1" min="4" max="4"/>
    <col width="15" customWidth="1" min="5" max="5"/>
    <col width="17" customWidth="1" min="6" max="6"/>
    <col width="22" customWidth="1" min="7" max="7"/>
    <col width="12" customWidth="1" min="8" max="8"/>
    <col width="10" customWidth="1" min="9" max="9"/>
    <col width="12" customWidth="1" min="10" max="10"/>
    <col width="16" customWidth="1" min="11" max="11"/>
    <col width="12" customWidth="1" min="12" max="12"/>
    <col width="13" customWidth="1" min="13" max="13"/>
    <col width="12" customWidth="1" min="14" max="14"/>
    <col width="15" customWidth="1" min="15" max="15"/>
    <col width="14" customWidth="1" min="16" max="16"/>
    <col width="17" customWidth="1" min="17" max="17"/>
    <col width="34" customWidth="1" min="18" max="18"/>
  </cols>
  <sheetData>
    <row r="1">
      <c r="A1" s="1" t="inlineStr">
        <is>
          <t>Ringette Association Fees Tracker — 2026–2027 Season</t>
        </is>
      </c>
    </row>
    <row r="2"/>
    <row r="3">
      <c r="A3" s="2" t="inlineStr">
        <is>
          <t>Member ID</t>
        </is>
      </c>
      <c r="B3" s="2" t="inlineStr">
        <is>
          <t>Player Name</t>
        </is>
      </c>
      <c r="C3" s="2" t="inlineStr">
        <is>
          <t>Division</t>
        </is>
      </c>
      <c r="D3" s="2" t="inlineStr">
        <is>
          <t>City</t>
        </is>
      </c>
      <c r="E3" s="2" t="inlineStr">
        <is>
          <t>Province</t>
        </is>
      </c>
      <c r="F3" s="2" t="inlineStr">
        <is>
          <t>Registration Date</t>
        </is>
      </c>
      <c r="G3" s="2" t="inlineStr">
        <is>
          <t>Fee Category</t>
        </is>
      </c>
      <c r="H3" s="2" t="inlineStr">
        <is>
          <t>Base Fee</t>
        </is>
      </c>
      <c r="I3" s="2" t="inlineStr">
        <is>
          <t>Tax Rate</t>
        </is>
      </c>
      <c r="J3" s="2" t="inlineStr">
        <is>
          <t>Tax Amount</t>
        </is>
      </c>
      <c r="K3" s="2" t="inlineStr">
        <is>
          <t>Subsidy/Discount</t>
        </is>
      </c>
      <c r="L3" s="2" t="inlineStr">
        <is>
          <t>Total Fees</t>
        </is>
      </c>
      <c r="M3" s="2" t="inlineStr">
        <is>
          <t>Amount Paid</t>
        </is>
      </c>
      <c r="N3" s="2" t="inlineStr">
        <is>
          <t>Balance Due</t>
        </is>
      </c>
      <c r="O3" s="2" t="inlineStr">
        <is>
          <t>Payment Status</t>
        </is>
      </c>
      <c r="P3" s="2" t="inlineStr">
        <is>
          <t>Payment Method</t>
        </is>
      </c>
      <c r="Q3" s="2" t="inlineStr">
        <is>
          <t>Last Payment Date</t>
        </is>
      </c>
      <c r="R3" s="2" t="inlineStr">
        <is>
          <t>Notes</t>
        </is>
      </c>
    </row>
    <row r="4">
      <c r="A4" s="3" t="inlineStr">
        <is>
          <t>RA2026-001</t>
        </is>
      </c>
      <c r="B4" s="4" t="inlineStr">
        <is>
          <t>Liam Chen</t>
        </is>
      </c>
      <c r="C4" s="5" t="inlineStr">
        <is>
          <t>U14</t>
        </is>
      </c>
      <c r="D4" s="4" t="inlineStr">
        <is>
          <t>Toronto</t>
        </is>
      </c>
      <c r="E4" s="5" t="inlineStr">
        <is>
          <t>Ontario</t>
        </is>
      </c>
      <c r="F4" s="34" t="n">
        <v>46122</v>
      </c>
      <c r="G4" s="5" t="inlineStr">
        <is>
          <t>Early Bird</t>
        </is>
      </c>
      <c r="H4" s="35">
        <f>IFERROR(VLOOKUP(G4,'Fee Schedule'!$A$5:$D$9,2,FALSE),0)</f>
        <v/>
      </c>
      <c r="I4" s="8">
        <f>IFERROR(VLOOKUP(E4,'Fee Schedule'!$F$5:$G$13,2,FALSE),0)</f>
        <v/>
      </c>
      <c r="J4" s="35">
        <f>(H4-K4)*I4</f>
        <v/>
      </c>
      <c r="K4" s="36" t="n">
        <v>150</v>
      </c>
      <c r="L4" s="35">
        <f>H4+J4-K4</f>
        <v/>
      </c>
      <c r="M4" s="36" t="n">
        <v>0</v>
      </c>
      <c r="N4" s="35">
        <f>L4-M4</f>
        <v/>
      </c>
      <c r="O4" s="3">
        <f>IF(N4&lt;=0,"Paid",IF(M4&gt;0,"Partially Paid","Unpaid"))</f>
        <v/>
      </c>
      <c r="P4" s="5" t="inlineStr">
        <is>
          <t>e-Transfer</t>
        </is>
      </c>
      <c r="Q4" s="34" t="n">
        <v>46124</v>
      </c>
      <c r="R4" s="4" t="inlineStr">
        <is>
          <t>Early bird rate applied</t>
        </is>
      </c>
    </row>
    <row r="5">
      <c r="A5" s="10" t="inlineStr">
        <is>
          <t>RA2026-002</t>
        </is>
      </c>
      <c r="B5" s="11" t="inlineStr">
        <is>
          <t>Emma Tremblay</t>
        </is>
      </c>
      <c r="C5" s="5" t="inlineStr">
        <is>
          <t>U12</t>
        </is>
      </c>
      <c r="D5" s="11" t="inlineStr">
        <is>
          <t>Montreal</t>
        </is>
      </c>
      <c r="E5" s="5" t="inlineStr">
        <is>
          <t>Quebec</t>
        </is>
      </c>
      <c r="F5" s="37" t="n">
        <v>46137</v>
      </c>
      <c r="G5" s="5" t="inlineStr">
        <is>
          <t>Regular Registration</t>
        </is>
      </c>
      <c r="H5" s="38">
        <f>IFERROR(VLOOKUP(G5,'Fee Schedule'!$A$5:$D$9,2,FALSE),0)</f>
        <v/>
      </c>
      <c r="I5" s="14">
        <f>IFERROR(VLOOKUP(E5,'Fee Schedule'!$F$5:$G$13,2,FALSE),0)</f>
        <v/>
      </c>
      <c r="J5" s="38">
        <f>(H5-K5)*I5</f>
        <v/>
      </c>
      <c r="K5" s="36" t="n">
        <v>250</v>
      </c>
      <c r="L5" s="38">
        <f>H5+J5-K5</f>
        <v/>
      </c>
      <c r="M5" s="36" t="n">
        <v>0</v>
      </c>
      <c r="N5" s="38">
        <f>L5-M5</f>
        <v/>
      </c>
      <c r="O5" s="10">
        <f>IF(N5&lt;=0,"Paid",IF(M5&gt;0,"Partially Paid","Unpaid"))</f>
        <v/>
      </c>
      <c r="P5" s="5" t="inlineStr">
        <is>
          <t>Credit Card</t>
        </is>
      </c>
      <c r="Q5" s="37" t="n">
        <v>46144</v>
      </c>
      <c r="R5" s="11" t="inlineStr">
        <is>
          <t>Instalment plan approved</t>
        </is>
      </c>
    </row>
    <row r="6">
      <c r="A6" s="3" t="inlineStr">
        <is>
          <t>RA2026-003</t>
        </is>
      </c>
      <c r="B6" s="4" t="inlineStr">
        <is>
          <t>Noah Singh</t>
        </is>
      </c>
      <c r="C6" s="5" t="inlineStr">
        <is>
          <t>U16</t>
        </is>
      </c>
      <c r="D6" s="4" t="inlineStr">
        <is>
          <t>Vancouver</t>
        </is>
      </c>
      <c r="E6" s="5" t="inlineStr">
        <is>
          <t>British Columbia</t>
        </is>
      </c>
      <c r="F6" s="34" t="n">
        <v>46150</v>
      </c>
      <c r="G6" s="5" t="inlineStr">
        <is>
          <t>Regular Registration</t>
        </is>
      </c>
      <c r="H6" s="35">
        <f>IFERROR(VLOOKUP(G6,'Fee Schedule'!$A$5:$D$9,2,FALSE),0)</f>
        <v/>
      </c>
      <c r="I6" s="8">
        <f>IFERROR(VLOOKUP(E6,'Fee Schedule'!$F$5:$G$13,2,FALSE),0)</f>
        <v/>
      </c>
      <c r="J6" s="35">
        <f>(H6-K6)*I6</f>
        <v/>
      </c>
      <c r="K6" s="36" t="n">
        <v>546</v>
      </c>
      <c r="L6" s="35">
        <f>H6+J6-K6</f>
        <v/>
      </c>
      <c r="M6" s="36" t="n">
        <v>546</v>
      </c>
      <c r="N6" s="35">
        <f>L6-M6</f>
        <v/>
      </c>
      <c r="O6" s="3">
        <f>IF(N6&lt;=0,"Paid",IF(M6&gt;0,"Partially Paid","Unpaid"))</f>
        <v/>
      </c>
      <c r="P6" s="5" t="inlineStr">
        <is>
          <t>e-Transfer</t>
        </is>
      </c>
      <c r="Q6" s="34" t="n">
        <v>46188</v>
      </c>
      <c r="R6" s="4" t="inlineStr">
        <is>
          <t>Paid in full</t>
        </is>
      </c>
    </row>
    <row r="7">
      <c r="A7" s="10" t="inlineStr">
        <is>
          <t>RA2026-004</t>
        </is>
      </c>
      <c r="B7" s="11" t="inlineStr">
        <is>
          <t>Olivia MacDonald</t>
        </is>
      </c>
      <c r="C7" s="5" t="inlineStr">
        <is>
          <t>U10</t>
        </is>
      </c>
      <c r="D7" s="11" t="inlineStr">
        <is>
          <t>Halifax</t>
        </is>
      </c>
      <c r="E7" s="5" t="inlineStr">
        <is>
          <t>Nova Scotia</t>
        </is>
      </c>
      <c r="F7" s="37" t="n">
        <v>46162</v>
      </c>
      <c r="G7" s="5" t="inlineStr">
        <is>
          <t>Family Second Player</t>
        </is>
      </c>
      <c r="H7" s="38">
        <f>IFERROR(VLOOKUP(G7,'Fee Schedule'!$A$5:$D$9,2,FALSE),0)</f>
        <v/>
      </c>
      <c r="I7" s="14">
        <f>IFERROR(VLOOKUP(E7,'Fee Schedule'!$F$5:$G$13,2,FALSE),0)</f>
        <v/>
      </c>
      <c r="J7" s="38">
        <f>(H7-K7)*I7</f>
        <v/>
      </c>
      <c r="K7" s="36" t="n">
        <v>100</v>
      </c>
      <c r="L7" s="38">
        <f>H7+J7-K7</f>
        <v/>
      </c>
      <c r="M7" s="36" t="n">
        <v>460</v>
      </c>
      <c r="N7" s="38">
        <f>L7-M7</f>
        <v/>
      </c>
      <c r="O7" s="10">
        <f>IF(N7&lt;=0,"Paid",IF(M7&gt;0,"Partially Paid","Unpaid"))</f>
        <v/>
      </c>
      <c r="P7" s="5" t="inlineStr">
        <is>
          <t>Credit Card</t>
        </is>
      </c>
      <c r="Q7" s="37" t="n">
        <v>46233</v>
      </c>
      <c r="R7" s="11" t="inlineStr">
        <is>
          <t>Second child in family</t>
        </is>
      </c>
    </row>
    <row r="8">
      <c r="A8" s="3" t="inlineStr">
        <is>
          <t>RA2026-005</t>
        </is>
      </c>
      <c r="B8" s="4" t="inlineStr">
        <is>
          <t>Lucas Martin</t>
        </is>
      </c>
      <c r="C8" s="5" t="inlineStr">
        <is>
          <t>U19</t>
        </is>
      </c>
      <c r="D8" s="4" t="inlineStr">
        <is>
          <t>Ottawa</t>
        </is>
      </c>
      <c r="E8" s="5" t="inlineStr">
        <is>
          <t>Ontario</t>
        </is>
      </c>
      <c r="F8" s="34" t="n">
        <v>46175</v>
      </c>
      <c r="G8" s="5" t="inlineStr">
        <is>
          <t>U19 Registration</t>
        </is>
      </c>
      <c r="H8" s="35">
        <f>IFERROR(VLOOKUP(G8,'Fee Schedule'!$A$5:$D$9,2,FALSE),0)</f>
        <v/>
      </c>
      <c r="I8" s="8">
        <f>IFERROR(VLOOKUP(E8,'Fee Schedule'!$F$5:$G$13,2,FALSE),0)</f>
        <v/>
      </c>
      <c r="J8" s="35">
        <f>(H8-K8)*I8</f>
        <v/>
      </c>
      <c r="K8" s="36" t="n">
        <v>0</v>
      </c>
      <c r="L8" s="35">
        <f>H8+J8-K8</f>
        <v/>
      </c>
      <c r="M8" s="36" t="n">
        <v>0</v>
      </c>
      <c r="N8" s="35">
        <f>L8-M8</f>
        <v/>
      </c>
      <c r="O8" s="3">
        <f>IF(N8&lt;=0,"Paid",IF(M8&gt;0,"Partially Paid","Unpaid"))</f>
        <v/>
      </c>
      <c r="P8" s="5" t="n"/>
      <c r="Q8" s="34" t="n"/>
      <c r="R8" s="4" t="inlineStr">
        <is>
          <t>Awaiting first payment</t>
        </is>
      </c>
    </row>
    <row r="9">
      <c r="A9" s="10" t="inlineStr">
        <is>
          <t>RA2026-006</t>
        </is>
      </c>
      <c r="B9" s="11" t="inlineStr">
        <is>
          <t>Sophie Gagnon</t>
        </is>
      </c>
      <c r="C9" s="5" t="inlineStr">
        <is>
          <t>U12</t>
        </is>
      </c>
      <c r="D9" s="11" t="inlineStr">
        <is>
          <t>Quebec City</t>
        </is>
      </c>
      <c r="E9" s="5" t="inlineStr">
        <is>
          <t>Quebec</t>
        </is>
      </c>
      <c r="F9" s="37" t="n">
        <v>46187</v>
      </c>
      <c r="G9" s="5" t="inlineStr">
        <is>
          <t>Family Third Player</t>
        </is>
      </c>
      <c r="H9" s="38">
        <f>IFERROR(VLOOKUP(G9,'Fee Schedule'!$A$5:$D$9,2,FALSE),0)</f>
        <v/>
      </c>
      <c r="I9" s="14">
        <f>IFERROR(VLOOKUP(E9,'Fee Schedule'!$F$5:$G$13,2,FALSE),0)</f>
        <v/>
      </c>
      <c r="J9" s="38">
        <f>(H9-K9)*I9</f>
        <v/>
      </c>
      <c r="K9" s="36" t="n">
        <v>150</v>
      </c>
      <c r="L9" s="38">
        <f>H9+J9-K9</f>
        <v/>
      </c>
      <c r="M9" s="36" t="n">
        <v>252.41</v>
      </c>
      <c r="N9" s="38">
        <f>L9-M9</f>
        <v/>
      </c>
      <c r="O9" s="10">
        <f>IF(N9&lt;=0,"Paid",IF(M9&gt;0,"Partially Paid","Unpaid"))</f>
        <v/>
      </c>
      <c r="P9" s="5" t="inlineStr">
        <is>
          <t>Cheque</t>
        </is>
      </c>
      <c r="Q9" s="37" t="n">
        <v>46201</v>
      </c>
      <c r="R9" s="11" t="inlineStr">
        <is>
          <t>Third child in family</t>
        </is>
      </c>
    </row>
    <row r="10">
      <c r="A10" s="3" t="inlineStr">
        <is>
          <t>RA2026-007</t>
        </is>
      </c>
      <c r="B10" s="4" t="inlineStr">
        <is>
          <t>Ethan Wilson</t>
        </is>
      </c>
      <c r="C10" s="5" t="inlineStr">
        <is>
          <t>U14</t>
        </is>
      </c>
      <c r="D10" s="4" t="inlineStr">
        <is>
          <t>Calgary</t>
        </is>
      </c>
      <c r="E10" s="5" t="inlineStr">
        <is>
          <t>Alberta</t>
        </is>
      </c>
      <c r="F10" s="34" t="n">
        <v>46206</v>
      </c>
      <c r="G10" s="5" t="inlineStr">
        <is>
          <t>Regular Registration</t>
        </is>
      </c>
      <c r="H10" s="35">
        <f>IFERROR(VLOOKUP(G10,'Fee Schedule'!$A$5:$D$9,2,FALSE),0)</f>
        <v/>
      </c>
      <c r="I10" s="8">
        <f>IFERROR(VLOOKUP(E10,'Fee Schedule'!$F$5:$G$13,2,FALSE),0)</f>
        <v/>
      </c>
      <c r="J10" s="35">
        <f>(H10-K10)*I10</f>
        <v/>
      </c>
      <c r="K10" s="36" t="n">
        <v>0</v>
      </c>
      <c r="L10" s="35">
        <f>H10+J10-K10</f>
        <v/>
      </c>
      <c r="M10" s="36" t="n">
        <v>0</v>
      </c>
      <c r="N10" s="35">
        <f>L10-M10</f>
        <v/>
      </c>
      <c r="O10" s="3">
        <f>IF(N10&lt;=0,"Paid",IF(M10&gt;0,"Partially Paid","Unpaid"))</f>
        <v/>
      </c>
      <c r="P10" s="5" t="n"/>
      <c r="Q10" s="34" t="n"/>
      <c r="R10" s="4" t="inlineStr">
        <is>
          <t>Jumpstart subsidy pending</t>
        </is>
      </c>
    </row>
    <row r="11">
      <c r="A11" s="10" t="inlineStr">
        <is>
          <t>RA2026-008</t>
        </is>
      </c>
      <c r="B11" s="11" t="inlineStr">
        <is>
          <t>Charlotte Fraser</t>
        </is>
      </c>
      <c r="C11" s="5" t="inlineStr">
        <is>
          <t>U10</t>
        </is>
      </c>
      <c r="D11" s="11" t="inlineStr">
        <is>
          <t>Winnipeg</t>
        </is>
      </c>
      <c r="E11" s="5" t="inlineStr">
        <is>
          <t>Manitoba</t>
        </is>
      </c>
      <c r="F11" s="37" t="n">
        <v>46221</v>
      </c>
      <c r="G11" s="5" t="inlineStr">
        <is>
          <t>Regular Registration</t>
        </is>
      </c>
      <c r="H11" s="38">
        <f>IFERROR(VLOOKUP(G11,'Fee Schedule'!$A$5:$D$9,2,FALSE),0)</f>
        <v/>
      </c>
      <c r="I11" s="14">
        <f>IFERROR(VLOOKUP(E11,'Fee Schedule'!$F$5:$G$13,2,FALSE),0)</f>
        <v/>
      </c>
      <c r="J11" s="38">
        <f>(H11-K11)*I11</f>
        <v/>
      </c>
      <c r="K11" s="36" t="n">
        <v>200</v>
      </c>
      <c r="L11" s="38">
        <f>H11+J11-K11</f>
        <v/>
      </c>
      <c r="M11" s="36" t="n">
        <v>0</v>
      </c>
      <c r="N11" s="38">
        <f>L11-M11</f>
        <v/>
      </c>
      <c r="O11" s="10">
        <f>IF(N11&lt;=0,"Paid",IF(M11&gt;0,"Partially Paid","Unpaid"))</f>
        <v/>
      </c>
      <c r="P11" s="5" t="inlineStr">
        <is>
          <t>Cash</t>
        </is>
      </c>
      <c r="Q11" s="37" t="n">
        <v>46223</v>
      </c>
      <c r="R11" s="11" t="inlineStr">
        <is>
          <t>Subsidy approved — documentation on file</t>
        </is>
      </c>
    </row>
    <row r="12">
      <c r="A12" s="3" t="inlineStr">
        <is>
          <t>RA2026-009</t>
        </is>
      </c>
      <c r="B12" s="4" t="inlineStr">
        <is>
          <t>Ava Murphy</t>
        </is>
      </c>
      <c r="C12" s="5" t="inlineStr">
        <is>
          <t>U16</t>
        </is>
      </c>
      <c r="D12" s="4" t="inlineStr">
        <is>
          <t>Victoria</t>
        </is>
      </c>
      <c r="E12" s="5" t="inlineStr">
        <is>
          <t>British Columbia</t>
        </is>
      </c>
      <c r="F12" s="34" t="n">
        <v>46235</v>
      </c>
      <c r="G12" s="5" t="inlineStr">
        <is>
          <t>Early Bird</t>
        </is>
      </c>
      <c r="H12" s="35">
        <f>IFERROR(VLOOKUP(G12,'Fee Schedule'!$A$5:$D$9,2,FALSE),0)</f>
        <v/>
      </c>
      <c r="I12" s="8">
        <f>IFERROR(VLOOKUP(E12,'Fee Schedule'!$F$5:$G$13,2,FALSE),0)</f>
        <v/>
      </c>
      <c r="J12" s="35">
        <f>(H12-K12)*I12</f>
        <v/>
      </c>
      <c r="K12" s="36" t="n">
        <v>0</v>
      </c>
      <c r="L12" s="35">
        <f>H12+J12-K12</f>
        <v/>
      </c>
      <c r="M12" s="36" t="n">
        <v>538</v>
      </c>
      <c r="N12" s="35">
        <f>L12-M12</f>
        <v/>
      </c>
      <c r="O12" s="3">
        <f>IF(N12&lt;=0,"Paid",IF(M12&gt;0,"Partially Paid","Unpaid"))</f>
        <v/>
      </c>
      <c r="P12" s="5" t="inlineStr">
        <is>
          <t>e-Transfer</t>
        </is>
      </c>
      <c r="Q12" s="34" t="n">
        <v>46235</v>
      </c>
      <c r="R12" s="4" t="inlineStr">
        <is>
          <t>Paid in full at registration</t>
        </is>
      </c>
    </row>
    <row r="13">
      <c r="A13" s="15" t="n"/>
      <c r="B13" s="16" t="inlineStr">
        <is>
          <t>TOTALS</t>
        </is>
      </c>
      <c r="C13" s="15" t="n"/>
      <c r="D13" s="15" t="n"/>
      <c r="E13" s="15" t="n"/>
      <c r="F13" s="15" t="n"/>
      <c r="G13" s="15" t="n"/>
      <c r="H13" s="15" t="n"/>
      <c r="I13" s="15" t="n"/>
      <c r="J13" s="39">
        <f>SUM(J4:J12)</f>
        <v/>
      </c>
      <c r="K13" s="39">
        <f>SUM(K4:K12)</f>
        <v/>
      </c>
      <c r="L13" s="39">
        <f>SUM(L4:L12)</f>
        <v/>
      </c>
      <c r="M13" s="39">
        <f>SUM(M4:M12)</f>
        <v/>
      </c>
      <c r="N13" s="39">
        <f>SUM(N4:N12)</f>
        <v/>
      </c>
      <c r="O13" s="15" t="n"/>
      <c r="P13" s="15" t="n"/>
      <c r="Q13" s="15" t="n"/>
      <c r="R13" s="15" t="n"/>
    </row>
    <row r="14"/>
    <row r="15">
      <c r="A15" s="18" t="inlineStr">
        <is>
          <t>Notes: Confirm tax applicability per CRA guidance and the association's GST/HST registration status. Retain subsidy documentation on file. Manage member data in compliance with PIPEDA.</t>
        </is>
      </c>
    </row>
  </sheetData>
  <autoFilter ref="A3:R12"/>
  <conditionalFormatting sqref="N4:N12">
    <cfRule type="cellIs" priority="1" operator="greaterThan" dxfId="0">
      <formula>0</formula>
    </cfRule>
  </conditionalFormatting>
  <conditionalFormatting sqref="O4:O12">
    <cfRule type="expression" priority="2" dxfId="0" stopIfTrue="1">
      <formula>$O4="Unpaid"</formula>
    </cfRule>
    <cfRule type="expression" priority="3" dxfId="1" stopIfTrue="1">
      <formula>$O4="Paid"</formula>
    </cfRule>
  </conditionalFormatting>
  <dataValidations count="5">
    <dataValidation sqref="C4:C12" showErrorMessage="1" showInputMessage="1" allowBlank="1" type="list">
      <formula1>"U8,U10,U12,U14,U16,U19,Open"</formula1>
    </dataValidation>
    <dataValidation sqref="E4:E12" showErrorMessage="1" showInputMessage="1" allowBlank="1" type="list">
      <formula1>"Ontario,Quebec,Nova Scotia,New Brunswick,Newfoundland and Labrador,Prince Edward Island,British Columbia,Alberta,Manitoba,Saskatchewan"</formula1>
    </dataValidation>
    <dataValidation sqref="G4:G12" showErrorMessage="1" showInputMessage="1" allowBlank="1" type="list">
      <formula1>='Fee Schedule'!$A$5:$A$9</formula1>
    </dataValidation>
    <dataValidation sqref="P4:P12" showErrorMessage="1" showInputMessage="1" allowBlank="1" type="list">
      <formula1>"e-Transfer,Credit Card,Cheque,Cash,Debit"</formula1>
    </dataValidation>
    <dataValidation sqref="O4:O12" showErrorMessage="1" showInputMessage="1" allowBlank="1" type="list">
      <formula1>"Paid,Partially Paid,Unpaid"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2" customWidth="1" min="3" max="3"/>
    <col width="18" customWidth="1" min="4" max="4"/>
    <col width="4" customWidth="1" min="5" max="5"/>
    <col width="26" customWidth="1" min="6" max="6"/>
    <col width="12" customWidth="1" min="7" max="7"/>
  </cols>
  <sheetData>
    <row r="1">
      <c r="A1" s="1" t="inlineStr">
        <is>
          <t>Ringette Association — 2026–2027 Fee Schedule</t>
        </is>
      </c>
    </row>
    <row r="2"/>
    <row r="3">
      <c r="A3" s="19" t="inlineStr">
        <is>
          <t>Fee Categories</t>
        </is>
      </c>
      <c r="F3" s="19" t="inlineStr">
        <is>
          <t>Provincial Tax Rates (GST/HST/PST)</t>
        </is>
      </c>
    </row>
    <row r="4">
      <c r="A4" s="2" t="inlineStr">
        <is>
          <t>Fee Category</t>
        </is>
      </c>
      <c r="B4" s="2" t="inlineStr">
        <is>
          <t>Base Fee</t>
        </is>
      </c>
      <c r="C4" s="2" t="inlineStr">
        <is>
          <t>Late Fee</t>
        </is>
      </c>
      <c r="D4" s="2" t="inlineStr">
        <is>
          <t>Subsidy Maximum</t>
        </is>
      </c>
      <c r="F4" s="2" t="inlineStr">
        <is>
          <t>Province</t>
        </is>
      </c>
      <c r="G4" s="2" t="inlineStr">
        <is>
          <t>Tax Rate</t>
        </is>
      </c>
    </row>
    <row r="5">
      <c r="A5" s="20" t="inlineStr">
        <is>
          <t>Early Bird</t>
        </is>
      </c>
      <c r="B5" s="35" t="n">
        <v>425</v>
      </c>
      <c r="C5" s="35" t="n">
        <v>25</v>
      </c>
      <c r="D5" s="35" t="n">
        <v>200</v>
      </c>
      <c r="F5" s="20" t="inlineStr">
        <is>
          <t>Ontario</t>
        </is>
      </c>
      <c r="G5" s="21" t="n">
        <v>0.13</v>
      </c>
    </row>
    <row r="6">
      <c r="A6" s="22" t="inlineStr">
        <is>
          <t>Regular Registration</t>
        </is>
      </c>
      <c r="B6" s="38" t="n">
        <v>475</v>
      </c>
      <c r="C6" s="38" t="n">
        <v>50</v>
      </c>
      <c r="D6" s="38" t="n">
        <v>150</v>
      </c>
      <c r="F6" s="22" t="inlineStr">
        <is>
          <t>Quebec</t>
        </is>
      </c>
      <c r="G6" s="21" t="n">
        <v>0.14975</v>
      </c>
    </row>
    <row r="7">
      <c r="A7" s="20" t="inlineStr">
        <is>
          <t>U19 Registration</t>
        </is>
      </c>
      <c r="B7" s="35" t="n">
        <v>525</v>
      </c>
      <c r="C7" s="35" t="n">
        <v>50</v>
      </c>
      <c r="D7" s="35" t="n">
        <v>150</v>
      </c>
      <c r="F7" s="20" t="inlineStr">
        <is>
          <t>Nova Scotia</t>
        </is>
      </c>
      <c r="G7" s="21" t="n">
        <v>0.15</v>
      </c>
    </row>
    <row r="8">
      <c r="A8" s="22" t="inlineStr">
        <is>
          <t>Family Second Player</t>
        </is>
      </c>
      <c r="B8" s="38" t="n">
        <v>400</v>
      </c>
      <c r="C8" s="38" t="n">
        <v>25</v>
      </c>
      <c r="D8" s="38" t="n">
        <v>100</v>
      </c>
      <c r="F8" s="22" t="inlineStr">
        <is>
          <t>New Brunswick</t>
        </is>
      </c>
      <c r="G8" s="21" t="n">
        <v>0.15</v>
      </c>
    </row>
    <row r="9">
      <c r="A9" s="20" t="inlineStr">
        <is>
          <t>Family Third Player</t>
        </is>
      </c>
      <c r="B9" s="35" t="n">
        <v>350</v>
      </c>
      <c r="C9" s="35" t="n">
        <v>25</v>
      </c>
      <c r="D9" s="35" t="n">
        <v>100</v>
      </c>
      <c r="F9" s="20" t="inlineStr">
        <is>
          <t>Newfoundland and Labrador</t>
        </is>
      </c>
      <c r="G9" s="21" t="n">
        <v>0.15</v>
      </c>
    </row>
    <row r="10">
      <c r="F10" s="22" t="inlineStr">
        <is>
          <t>Prince Edward Island</t>
        </is>
      </c>
      <c r="G10" s="21" t="n">
        <v>0.15</v>
      </c>
    </row>
    <row r="11">
      <c r="F11" s="20" t="inlineStr">
        <is>
          <t>British Columbia</t>
        </is>
      </c>
      <c r="G11" s="21" t="n">
        <v>0.12</v>
      </c>
    </row>
    <row r="12" ht="60" customHeight="1">
      <c r="A12" s="23" t="inlineStr">
        <is>
          <t>Note: The association must confirm whether registration fees are taxable and update these rates based on CRA guidance and the association's GST/HST registration status (BN on file, e.g. 123456789RT0001). Subsidy amounts require supporting documentation retained on file. Handle all member personal information in accordance with PIPEDA.</t>
        </is>
      </c>
      <c r="F12" s="22" t="inlineStr">
        <is>
          <t>Alberta</t>
        </is>
      </c>
      <c r="G12" s="21" t="n">
        <v>0.05</v>
      </c>
    </row>
    <row r="13">
      <c r="F13" s="20" t="inlineStr">
        <is>
          <t>Manitoba</t>
        </is>
      </c>
      <c r="G13" s="21" t="n">
        <v>0.12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5" customWidth="1" min="3" max="3"/>
    <col width="16" customWidth="1" min="4" max="4"/>
    <col width="14" customWidth="1" min="5" max="5"/>
    <col width="3" customWidth="1" min="6" max="6"/>
    <col width="16" customWidth="1" min="7" max="7"/>
    <col width="14" customWidth="1" min="8" max="8"/>
  </cols>
  <sheetData>
    <row r="1">
      <c r="A1" s="24" t="inlineStr">
        <is>
          <t>Ringette Association — Fees Dashboard 2026–2027</t>
        </is>
      </c>
    </row>
    <row r="2"/>
    <row r="3">
      <c r="A3" s="19" t="inlineStr">
        <is>
          <t>Summary Metrics</t>
        </is>
      </c>
      <c r="G3" s="19" t="inlineStr">
        <is>
          <t>Payment Status Breakdown</t>
        </is>
      </c>
    </row>
    <row r="4">
      <c r="A4" s="25" t="inlineStr">
        <is>
          <t>Total Registrations</t>
        </is>
      </c>
      <c r="B4" s="26">
        <f>COUNTA('Fee Tracker'!A4:A12)</f>
        <v/>
      </c>
      <c r="G4" s="2" t="inlineStr">
        <is>
          <t>Status</t>
        </is>
      </c>
      <c r="H4" s="2" t="inlineStr">
        <is>
          <t>Count</t>
        </is>
      </c>
    </row>
    <row r="5">
      <c r="A5" s="27" t="inlineStr">
        <is>
          <t>Total Fees Invoiced</t>
        </is>
      </c>
      <c r="B5" s="40">
        <f>SUM('Fee Tracker'!L4:L12)</f>
        <v/>
      </c>
      <c r="G5" s="20" t="inlineStr">
        <is>
          <t>Paid</t>
        </is>
      </c>
      <c r="H5" s="3">
        <f>COUNTIF('Fee Tracker'!$O$4:$O$12,G5)</f>
        <v/>
      </c>
    </row>
    <row r="6">
      <c r="A6" s="25" t="inlineStr">
        <is>
          <t>Total Collected</t>
        </is>
      </c>
      <c r="B6" s="41">
        <f>SUM('Fee Tracker'!M4:M12)</f>
        <v/>
      </c>
      <c r="G6" s="20" t="inlineStr">
        <is>
          <t>Partially Paid</t>
        </is>
      </c>
      <c r="H6" s="3">
        <f>COUNTIF('Fee Tracker'!$O$4:$O$12,G6)</f>
        <v/>
      </c>
    </row>
    <row r="7">
      <c r="A7" s="27" t="inlineStr">
        <is>
          <t>Total Balance Due</t>
        </is>
      </c>
      <c r="B7" s="42">
        <f>SUM('Fee Tracker'!N4:N12)</f>
        <v/>
      </c>
      <c r="G7" s="20" t="inlineStr">
        <is>
          <t>Unpaid</t>
        </is>
      </c>
      <c r="H7" s="3">
        <f>COUNTIF('Fee Tracker'!$O$4:$O$12,G7)</f>
        <v/>
      </c>
    </row>
    <row r="8">
      <c r="A8" s="25" t="inlineStr">
        <is>
          <t>Average Registration Fee</t>
        </is>
      </c>
      <c r="B8" s="38">
        <f>IFERROR(AVERAGE('Fee Tracker'!L4:L12),0)</f>
        <v/>
      </c>
    </row>
    <row r="9">
      <c r="A9" s="27" t="inlineStr">
        <is>
          <t>Paid Registrations</t>
        </is>
      </c>
      <c r="B9" s="31">
        <f>COUNTIF('Fee Tracker'!O4:O12,"Paid")</f>
        <v/>
      </c>
    </row>
    <row r="10">
      <c r="A10" s="25" t="inlineStr">
        <is>
          <t>Collection Rate</t>
        </is>
      </c>
      <c r="B10" s="32">
        <f>IF(B4=0,0,B5/B4)</f>
        <v/>
      </c>
      <c r="G10" s="19" t="inlineStr">
        <is>
          <t>Payments by Month</t>
        </is>
      </c>
    </row>
    <row r="11">
      <c r="A11" s="27" t="inlineStr">
        <is>
          <t>Unpaid or Partial Accounts</t>
        </is>
      </c>
      <c r="B11" s="31">
        <f>COUNTIF('Fee Tracker'!O4:O12,"&lt;&gt;Paid")</f>
        <v/>
      </c>
      <c r="G11" s="2" t="inlineStr">
        <is>
          <t>Month</t>
        </is>
      </c>
      <c r="H11" s="2" t="inlineStr">
        <is>
          <t>Collected</t>
        </is>
      </c>
    </row>
    <row r="12">
      <c r="G12" s="20" t="inlineStr">
        <is>
          <t>April</t>
        </is>
      </c>
      <c r="H12" s="35">
        <f>SUMPRODUCT((TEXT('Fee Tracker'!$Q$4:$Q$12,"YYYY-MM")="2026-04")*('Fee Tracker'!$M$4:$M$12))</f>
        <v/>
      </c>
    </row>
    <row r="13">
      <c r="G13" s="20" t="inlineStr">
        <is>
          <t>May</t>
        </is>
      </c>
      <c r="H13" s="35">
        <f>SUMPRODUCT((TEXT('Fee Tracker'!$Q$4:$Q$12,"YYYY-MM")="2026-05")*('Fee Tracker'!$M$4:$M$12))</f>
        <v/>
      </c>
    </row>
    <row r="14">
      <c r="A14" s="19" t="inlineStr">
        <is>
          <t>Division Summary</t>
        </is>
      </c>
      <c r="G14" s="20" t="inlineStr">
        <is>
          <t>June</t>
        </is>
      </c>
      <c r="H14" s="35">
        <f>SUMPRODUCT((TEXT('Fee Tracker'!$Q$4:$Q$12,"YYYY-MM")="2026-06")*('Fee Tracker'!$M$4:$M$12))</f>
        <v/>
      </c>
    </row>
    <row r="15">
      <c r="A15" s="2" t="inlineStr">
        <is>
          <t>Division</t>
        </is>
      </c>
      <c r="B15" s="2" t="inlineStr">
        <is>
          <t>Registrations</t>
        </is>
      </c>
      <c r="C15" s="2" t="inlineStr">
        <is>
          <t>Total Invoiced</t>
        </is>
      </c>
      <c r="D15" s="2" t="inlineStr">
        <is>
          <t>Amount Collected</t>
        </is>
      </c>
      <c r="E15" s="2" t="inlineStr">
        <is>
          <t>Balance Due</t>
        </is>
      </c>
      <c r="G15" s="20" t="inlineStr">
        <is>
          <t>July</t>
        </is>
      </c>
      <c r="H15" s="35">
        <f>SUMPRODUCT((TEXT('Fee Tracker'!$Q$4:$Q$12,"YYYY-MM")="2026-07")*('Fee Tracker'!$M$4:$M$12))</f>
        <v/>
      </c>
    </row>
    <row r="16">
      <c r="A16" s="22" t="inlineStr">
        <is>
          <t>U10</t>
        </is>
      </c>
      <c r="B16" s="10">
        <f>COUNTIF('Fee Tracker'!$C$4:$C$12,A16)</f>
        <v/>
      </c>
      <c r="C16" s="38">
        <f>SUMIF('Fee Tracker'!$C$4:$C$12,A16,'Fee Tracker'!$L$4:$L$12)</f>
        <v/>
      </c>
      <c r="D16" s="38">
        <f>SUMIF('Fee Tracker'!$C$4:$C$12,A16,'Fee Tracker'!$M$4:$M$12)</f>
        <v/>
      </c>
      <c r="E16" s="38">
        <f>SUMIF('Fee Tracker'!$C$4:$C$12,A16,'Fee Tracker'!$N$4:$N$12)</f>
        <v/>
      </c>
      <c r="G16" s="20" t="inlineStr">
        <is>
          <t>August</t>
        </is>
      </c>
      <c r="H16" s="35">
        <f>SUMPRODUCT((TEXT('Fee Tracker'!$Q$4:$Q$12,"YYYY-MM")="2026-08")*('Fee Tracker'!$M$4:$M$12))</f>
        <v/>
      </c>
    </row>
    <row r="17">
      <c r="A17" s="20" t="inlineStr">
        <is>
          <t>U12</t>
        </is>
      </c>
      <c r="B17" s="3">
        <f>COUNTIF('Fee Tracker'!$C$4:$C$12,A17)</f>
        <v/>
      </c>
      <c r="C17" s="35">
        <f>SUMIF('Fee Tracker'!$C$4:$C$12,A17,'Fee Tracker'!$L$4:$L$12)</f>
        <v/>
      </c>
      <c r="D17" s="35">
        <f>SUMIF('Fee Tracker'!$C$4:$C$12,A17,'Fee Tracker'!$M$4:$M$12)</f>
        <v/>
      </c>
      <c r="E17" s="35">
        <f>SUMIF('Fee Tracker'!$C$4:$C$12,A17,'Fee Tracker'!$N$4:$N$12)</f>
        <v/>
      </c>
    </row>
    <row r="18">
      <c r="A18" s="22" t="inlineStr">
        <is>
          <t>U14</t>
        </is>
      </c>
      <c r="B18" s="10">
        <f>COUNTIF('Fee Tracker'!$C$4:$C$12,A18)</f>
        <v/>
      </c>
      <c r="C18" s="38">
        <f>SUMIF('Fee Tracker'!$C$4:$C$12,A18,'Fee Tracker'!$L$4:$L$12)</f>
        <v/>
      </c>
      <c r="D18" s="38">
        <f>SUMIF('Fee Tracker'!$C$4:$C$12,A18,'Fee Tracker'!$M$4:$M$12)</f>
        <v/>
      </c>
      <c r="E18" s="38">
        <f>SUMIF('Fee Tracker'!$C$4:$C$12,A18,'Fee Tracker'!$N$4:$N$12)</f>
        <v/>
      </c>
    </row>
    <row r="19">
      <c r="A19" s="20" t="inlineStr">
        <is>
          <t>U16</t>
        </is>
      </c>
      <c r="B19" s="3">
        <f>COUNTIF('Fee Tracker'!$C$4:$C$12,A19)</f>
        <v/>
      </c>
      <c r="C19" s="35">
        <f>SUMIF('Fee Tracker'!$C$4:$C$12,A19,'Fee Tracker'!$L$4:$L$12)</f>
        <v/>
      </c>
      <c r="D19" s="35">
        <f>SUMIF('Fee Tracker'!$C$4:$C$12,A19,'Fee Tracker'!$M$4:$M$12)</f>
        <v/>
      </c>
      <c r="E19" s="35">
        <f>SUMIF('Fee Tracker'!$C$4:$C$12,A19,'Fee Tracker'!$N$4:$N$12)</f>
        <v/>
      </c>
    </row>
    <row r="20">
      <c r="A20" s="22" t="inlineStr">
        <is>
          <t>U19</t>
        </is>
      </c>
      <c r="B20" s="10">
        <f>COUNTIF('Fee Tracker'!$C$4:$C$12,A20)</f>
        <v/>
      </c>
      <c r="C20" s="38">
        <f>SUMIF('Fee Tracker'!$C$4:$C$12,A20,'Fee Tracker'!$L$4:$L$12)</f>
        <v/>
      </c>
      <c r="D20" s="38">
        <f>SUMIF('Fee Tracker'!$C$4:$C$12,A20,'Fee Tracker'!$M$4:$M$12)</f>
        <v/>
      </c>
      <c r="E20" s="38">
        <f>SUMIF('Fee Tracker'!$C$4:$C$12,A20,'Fee Tracker'!$N$4:$N$12)</f>
        <v/>
      </c>
    </row>
    <row r="21">
      <c r="A21" s="16" t="inlineStr">
        <is>
          <t>TOTAL</t>
        </is>
      </c>
      <c r="B21" s="16">
        <f>SUM(B16:B20)</f>
        <v/>
      </c>
      <c r="C21" s="39">
        <f>SUM(C16:C20)</f>
        <v/>
      </c>
      <c r="D21" s="39">
        <f>SUM(D16:D20)</f>
        <v/>
      </c>
      <c r="E21" s="39">
        <f>SUM(E16:E20)</f>
        <v/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 ht="40" customHeight="1">
      <c r="A56" s="33" t="inlineStr">
        <is>
          <t>Compliance reminder: verify GST/HST obligations with the CRA based on the association's registration status; retain subsidy supporting documentation; collect, use and store member personal information in accordance with PIPEDA.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2026-08-01T07:34:08Z</dcterms:created>
  <dcterms:modified xmlns:dcterms="http://purl.org/dc/terms/" xmlns:xsi="http://www.w3.org/2001/XMLSchema-instance" xsi:type="dcterms:W3CDTF">2026-08-01T07:34:08Z</dcterms:modified>
</cp:coreProperties>
</file>